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00" windowWidth="9990" windowHeight="5700" activeTab="3"/>
  </bookViews>
  <sheets>
    <sheet name="Оценка 2019" sheetId="13" r:id="rId1"/>
    <sheet name="прогноз 2020" sheetId="14" r:id="rId2"/>
    <sheet name="прогноз 2021" sheetId="18" r:id="rId3"/>
    <sheet name="прогноз 2022" sheetId="19" r:id="rId4"/>
  </sheets>
  <definedNames>
    <definedName name="_xlnm.Print_Area" localSheetId="0">'Оценка 2019'!$A$1:$O$20</definedName>
    <definedName name="_xlnm.Print_Area" localSheetId="1">'прогноз 2020'!$A$1:$R$20</definedName>
  </definedNames>
  <calcPr calcId="144525"/>
</workbook>
</file>

<file path=xl/calcChain.xml><?xml version="1.0" encoding="utf-8"?>
<calcChain xmlns="http://schemas.openxmlformats.org/spreadsheetml/2006/main">
  <c r="H16" i="13" l="1"/>
  <c r="G16" i="13" l="1"/>
  <c r="G11" i="13" l="1"/>
  <c r="H11" i="13" s="1"/>
  <c r="J15" i="18" l="1"/>
  <c r="I15" i="19" s="1"/>
  <c r="G15" i="13"/>
  <c r="H15" i="13" s="1"/>
  <c r="G10" i="13" l="1"/>
  <c r="H10" i="13" s="1"/>
  <c r="G12" i="13"/>
  <c r="H12" i="13" s="1"/>
  <c r="G13" i="13"/>
  <c r="H13" i="13" s="1"/>
  <c r="G14" i="13"/>
  <c r="H14" i="13" s="1"/>
  <c r="G9" i="13"/>
  <c r="H9" i="13" s="1"/>
  <c r="J9" i="13" s="1"/>
  <c r="J15" i="19" l="1"/>
  <c r="G17" i="19"/>
  <c r="G16" i="19"/>
  <c r="G15" i="19"/>
  <c r="G14" i="19"/>
  <c r="G13" i="19"/>
  <c r="G12" i="19"/>
  <c r="G11" i="19"/>
  <c r="G10" i="19"/>
  <c r="K9" i="19"/>
  <c r="E8" i="19"/>
  <c r="G8" i="19" s="1"/>
  <c r="J15" i="14"/>
  <c r="G17" i="18"/>
  <c r="G16" i="18"/>
  <c r="G15" i="18"/>
  <c r="G14" i="18"/>
  <c r="G13" i="18"/>
  <c r="G12" i="18"/>
  <c r="G11" i="18"/>
  <c r="J10" i="18"/>
  <c r="I10" i="19" s="1"/>
  <c r="I8" i="19" s="1"/>
  <c r="G10" i="18"/>
  <c r="G9" i="18"/>
  <c r="K9" i="18" s="1"/>
  <c r="I8" i="18"/>
  <c r="E8" i="18"/>
  <c r="G8" i="18" s="1"/>
  <c r="J10" i="14"/>
  <c r="J10" i="19" l="1"/>
  <c r="K15" i="19"/>
  <c r="R15" i="19" s="1"/>
  <c r="K11" i="19"/>
  <c r="R11" i="19" s="1"/>
  <c r="K12" i="19"/>
  <c r="R12" i="19" s="1"/>
  <c r="K16" i="19"/>
  <c r="R16" i="19" s="1"/>
  <c r="K10" i="19"/>
  <c r="K14" i="19"/>
  <c r="R14" i="19" s="1"/>
  <c r="K11" i="18"/>
  <c r="K12" i="18"/>
  <c r="K16" i="18"/>
  <c r="K13" i="19"/>
  <c r="R13" i="19" s="1"/>
  <c r="K17" i="19"/>
  <c r="R17" i="19" s="1"/>
  <c r="J8" i="19"/>
  <c r="K17" i="18"/>
  <c r="K15" i="18"/>
  <c r="K14" i="18"/>
  <c r="K13" i="18"/>
  <c r="J8" i="18"/>
  <c r="K10" i="18"/>
  <c r="D10" i="19" s="1"/>
  <c r="R9" i="19" l="1"/>
  <c r="R10" i="19"/>
  <c r="K8" i="19"/>
  <c r="R12" i="18"/>
  <c r="D12" i="19"/>
  <c r="R11" i="18"/>
  <c r="D11" i="19"/>
  <c r="R14" i="18"/>
  <c r="D14" i="19"/>
  <c r="R17" i="18"/>
  <c r="D17" i="19"/>
  <c r="R13" i="18"/>
  <c r="D13" i="19"/>
  <c r="R15" i="18"/>
  <c r="D15" i="19"/>
  <c r="R16" i="18"/>
  <c r="D16" i="19"/>
  <c r="R9" i="18"/>
  <c r="R10" i="18"/>
  <c r="K8" i="18"/>
  <c r="C7" i="13"/>
  <c r="J13" i="13" l="1"/>
  <c r="J11" i="13"/>
  <c r="J12" i="13"/>
  <c r="J15" i="13"/>
  <c r="I8" i="14"/>
  <c r="F7" i="13"/>
  <c r="G9" i="14"/>
  <c r="K9" i="14" s="1"/>
  <c r="E7" i="13"/>
  <c r="D7" i="13"/>
  <c r="G10" i="14"/>
  <c r="G11" i="14"/>
  <c r="K11" i="14" s="1"/>
  <c r="D11" i="18" s="1"/>
  <c r="G12" i="14"/>
  <c r="G13" i="14"/>
  <c r="K13" i="14" s="1"/>
  <c r="G14" i="14"/>
  <c r="G15" i="14"/>
  <c r="G16" i="14"/>
  <c r="G17" i="14"/>
  <c r="E8" i="14"/>
  <c r="G8" i="14" s="1"/>
  <c r="K12" i="14" l="1"/>
  <c r="K9" i="13"/>
  <c r="D17" i="14"/>
  <c r="J16" i="13"/>
  <c r="K16" i="13" s="1"/>
  <c r="D15" i="14"/>
  <c r="J14" i="13"/>
  <c r="K14" i="13" s="1"/>
  <c r="J10" i="13"/>
  <c r="K10" i="13" s="1"/>
  <c r="K16" i="14"/>
  <c r="K10" i="14"/>
  <c r="K17" i="14"/>
  <c r="K15" i="13"/>
  <c r="D16" i="14"/>
  <c r="K13" i="13"/>
  <c r="D14" i="14"/>
  <c r="K12" i="13"/>
  <c r="D13" i="14"/>
  <c r="K11" i="13"/>
  <c r="D12" i="14"/>
  <c r="D11" i="14"/>
  <c r="K14" i="14"/>
  <c r="K15" i="14"/>
  <c r="R11" i="14"/>
  <c r="J8" i="14"/>
  <c r="G7" i="13"/>
  <c r="R17" i="14" l="1"/>
  <c r="D17" i="18"/>
  <c r="R16" i="14"/>
  <c r="D16" i="18"/>
  <c r="R15" i="14"/>
  <c r="D15" i="18"/>
  <c r="R14" i="14"/>
  <c r="D14" i="18"/>
  <c r="R13" i="14"/>
  <c r="D13" i="18"/>
  <c r="R12" i="14"/>
  <c r="D12" i="18"/>
  <c r="R10" i="14"/>
  <c r="D10" i="18"/>
  <c r="D10" i="14"/>
  <c r="D8" i="14" s="1"/>
  <c r="H7" i="13"/>
  <c r="J8" i="13"/>
  <c r="R9" i="14"/>
  <c r="K8" i="14"/>
  <c r="K7" i="13"/>
  <c r="L14" i="13" s="1"/>
  <c r="D8" i="18" l="1"/>
  <c r="L16" i="13"/>
  <c r="N16" i="13" s="1"/>
  <c r="L9" i="13"/>
  <c r="N9" i="13" s="1"/>
  <c r="O14" i="13"/>
  <c r="N14" i="13"/>
  <c r="M14" i="13"/>
  <c r="L11" i="13"/>
  <c r="L15" i="13"/>
  <c r="L10" i="13"/>
  <c r="L12" i="13"/>
  <c r="L13" i="13"/>
  <c r="O16" i="13" l="1"/>
  <c r="O9" i="13"/>
  <c r="M16" i="13"/>
  <c r="M9" i="13"/>
  <c r="O10" i="13"/>
  <c r="N10" i="13"/>
  <c r="M10" i="13"/>
  <c r="N15" i="13"/>
  <c r="M15" i="13"/>
  <c r="O15" i="13"/>
  <c r="O13" i="13"/>
  <c r="N13" i="13"/>
  <c r="M13" i="13"/>
  <c r="N11" i="13"/>
  <c r="M11" i="13"/>
  <c r="O11" i="13"/>
  <c r="L7" i="13"/>
  <c r="O12" i="13"/>
  <c r="N12" i="13"/>
  <c r="M12" i="13"/>
</calcChain>
</file>

<file path=xl/sharedStrings.xml><?xml version="1.0" encoding="utf-8"?>
<sst xmlns="http://schemas.openxmlformats.org/spreadsheetml/2006/main" count="131" uniqueCount="77">
  <si>
    <t>тыс. руб.</t>
  </si>
  <si>
    <t>Наименование</t>
  </si>
  <si>
    <t>№</t>
  </si>
  <si>
    <t>Ставка ЕСХН, %</t>
  </si>
  <si>
    <t>№п/п</t>
  </si>
  <si>
    <t>Наименование МО</t>
  </si>
  <si>
    <t>МУН.образование</t>
  </si>
  <si>
    <t xml:space="preserve">1. </t>
  </si>
  <si>
    <t>Мун.район</t>
  </si>
  <si>
    <t>Городское пос.</t>
  </si>
  <si>
    <t>Бошинское с/п</t>
  </si>
  <si>
    <t>Вельяминовское</t>
  </si>
  <si>
    <t>Верхопольское</t>
  </si>
  <si>
    <t>Дроновское</t>
  </si>
  <si>
    <t>Мылинское</t>
  </si>
  <si>
    <t>Песоченское</t>
  </si>
  <si>
    <t>Ревенское</t>
  </si>
  <si>
    <t>Норматив отчислений в местные бюджеты,%</t>
  </si>
  <si>
    <t>Мун.образование</t>
  </si>
  <si>
    <t>Норматив отчислений в местные бюджеты, 100%</t>
  </si>
  <si>
    <t>2013г</t>
  </si>
  <si>
    <t>удельный вес</t>
  </si>
  <si>
    <t>12=гр11/65%/6%</t>
  </si>
  <si>
    <t>Расчет налогооблагаемой базы на плановый период исходя из удельного веса</t>
  </si>
  <si>
    <r>
      <t xml:space="preserve">Оценка налогооблагаемой базы </t>
    </r>
    <r>
      <rPr>
        <b/>
        <i/>
        <u/>
        <sz val="10"/>
        <rFont val="Arial"/>
        <family val="2"/>
        <charset val="204"/>
      </rPr>
      <t>на 2012 год-100% в поселения</t>
    </r>
    <r>
      <rPr>
        <b/>
        <i/>
        <sz val="10"/>
        <rFont val="Arial"/>
        <family val="2"/>
        <charset val="204"/>
      </rPr>
      <t xml:space="preserve"> </t>
    </r>
  </si>
  <si>
    <t>2014г</t>
  </si>
  <si>
    <t>2015г</t>
  </si>
  <si>
    <t xml:space="preserve">Поступило "всего" </t>
  </si>
  <si>
    <t>3</t>
  </si>
  <si>
    <t>6=гр4*гр5</t>
  </si>
  <si>
    <t xml:space="preserve">10=гр6*гр7+гр9 </t>
  </si>
  <si>
    <t>12</t>
  </si>
  <si>
    <t>5</t>
  </si>
  <si>
    <t>6</t>
  </si>
  <si>
    <t>8=гр5+гр7</t>
  </si>
  <si>
    <t>9</t>
  </si>
  <si>
    <t>10=гр8*гр9</t>
  </si>
  <si>
    <t>Начислено "всего"</t>
  </si>
  <si>
    <t>50%+70%</t>
  </si>
  <si>
    <t>0,5+0,7</t>
  </si>
  <si>
    <t>7=гр6*20%</t>
  </si>
  <si>
    <t>9=гр8*20%</t>
  </si>
  <si>
    <t xml:space="preserve">Оценка поступлений налога в местные бюджеты на 2019 год </t>
  </si>
  <si>
    <t>РАСЧЕТ ПРОГНОЗА ЕДИНОГО СЕЛЬСКОХОЗЯЙСТВЕННОГО НАЛОГА   на 2020г.</t>
  </si>
  <si>
    <t xml:space="preserve">Оценка поступлений налога в местные бюджеты на 2020 год </t>
  </si>
  <si>
    <t xml:space="preserve">Прогноз поступления ЕСХН на 2020 год с учетом собираемости и погашения недоимки  </t>
  </si>
  <si>
    <t>Прогноз погашения недоимки  на 2020 год в размере 20%,</t>
  </si>
  <si>
    <t xml:space="preserve">Прогноз поступления  ЕСХН на 2020 год </t>
  </si>
  <si>
    <t>Прогнозируемая собираемость на 2020 год с учетом роста поступлений</t>
  </si>
  <si>
    <t xml:space="preserve"> Прогноз  ЕСХН  во все уровни бюджета за 2020 год</t>
  </si>
  <si>
    <t xml:space="preserve">Прогноз поступления  ЕСХН на 2021 год </t>
  </si>
  <si>
    <t>Прогнозируемая собираемость на 2021 год с учетом роста поступлений</t>
  </si>
  <si>
    <t>Прогнозируемая задолженность по состоянию на 01.01.2021 года, (расчетным путем)</t>
  </si>
  <si>
    <t xml:space="preserve">Прогноз поступления ЕСХН на 2021 год с учетом собираемости и погашения недоимки  </t>
  </si>
  <si>
    <t xml:space="preserve">Оценка поступлений налога в местные бюджеты на 2021 год </t>
  </si>
  <si>
    <t>РАСЧЕТ ПРОГНОЗА ЕДИНОГО СЕЛЬСКОХОЗЯЙСТВЕННОГО НАЛОГА   на 2021г.</t>
  </si>
  <si>
    <t xml:space="preserve">Согласовано с департаментом </t>
  </si>
  <si>
    <t>Расчет ожидаемой  оценки  по единому сельскохозяйственному налогу на 2019 год</t>
  </si>
  <si>
    <t>Фактически поступило "всего" за 2018 год (приказ 65н)</t>
  </si>
  <si>
    <t xml:space="preserve">Оценка поступлений налога во все уровни бюджета на 2019 год </t>
  </si>
  <si>
    <t xml:space="preserve"> Ожидаемое поступление ЕСХН  во все уровни бюджета за 2019 год</t>
  </si>
  <si>
    <t xml:space="preserve">Налоговая база для исчисления ЕСХН на 2020 год </t>
  </si>
  <si>
    <t>Прогнозируемая недоимка по состоянию на 01.01.2020 года, (расчетным путем)</t>
  </si>
  <si>
    <t>Налоговая база для исчисления ЕСХН на 2021год</t>
  </si>
  <si>
    <t>Прогноз погашения недоимки  на 2021 год в размере 20%,</t>
  </si>
  <si>
    <t xml:space="preserve"> Прогноз  ЕСХН  во все уровни бюджета за 2021 год</t>
  </si>
  <si>
    <t>РАСЧЕТ ПРОГНОЗА ЕДИНОГО СЕЛЬСКОХОЗЯЙСТВЕННОГО НАЛОГА   на 2022г.</t>
  </si>
  <si>
    <t xml:space="preserve">Налоговая база для исчисления ЕСХН на 2022 год </t>
  </si>
  <si>
    <t xml:space="preserve">Прогноз поступления  ЕСХН на 2022 год </t>
  </si>
  <si>
    <t>Прогнозируемая собираемость на 2022 год с учетом роста поступлений</t>
  </si>
  <si>
    <t>Прогнозируемая задолженность по состоянию на 01.01.2022 года, (расчетным путем)</t>
  </si>
  <si>
    <t>Прогноз погашения недоимки  на 2022  год в размере 20%,</t>
  </si>
  <si>
    <t xml:space="preserve">Прогноз поступления ЕСХН на 2022 год с учетом собираемости и погашения недоимки  </t>
  </si>
  <si>
    <t xml:space="preserve">Оценка поступлений налога в местные бюджеты на 2022 год </t>
  </si>
  <si>
    <t>01.10.2019 года (приказ 65н)</t>
  </si>
  <si>
    <t xml:space="preserve">Сумма недоимки по налогу во все уровни бюджета по состоянию на 01.10.2019 года (приказ 65н) </t>
  </si>
  <si>
    <t xml:space="preserve">Оценка 4 кв.  2019 года (прогнозируемая сумма погашения недоимки  в размере 20%)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</si>
</sst>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6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31">
    <xf numFmtId="0" fontId="1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1" xfId="0" applyFont="1" applyBorder="1" applyAlignment="1"/>
    <xf numFmtId="0" fontId="9" fillId="0" borderId="2" xfId="0" applyFont="1" applyBorder="1" applyAlignment="1"/>
    <xf numFmtId="0" fontId="11" fillId="0" borderId="0" xfId="0" applyNumberFormat="1" applyFont="1" applyFill="1" applyBorder="1" applyAlignment="1" applyProtection="1">
      <alignment vertical="top"/>
    </xf>
    <xf numFmtId="2" fontId="3" fillId="0" borderId="0" xfId="0" applyNumberFormat="1" applyFont="1" applyAlignment="1"/>
    <xf numFmtId="0" fontId="3" fillId="0" borderId="1" xfId="0" applyFont="1" applyBorder="1" applyAlignment="1">
      <alignment horizontal="center"/>
    </xf>
    <xf numFmtId="0" fontId="1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0" fillId="2" borderId="0" xfId="0" applyFill="1" applyAlignment="1"/>
    <xf numFmtId="0" fontId="1" fillId="2" borderId="0" xfId="0" applyNumberFormat="1" applyFont="1" applyFill="1" applyBorder="1" applyAlignment="1" applyProtection="1">
      <alignment vertical="top"/>
    </xf>
    <xf numFmtId="0" fontId="14" fillId="2" borderId="0" xfId="0" applyFont="1" applyFill="1" applyAlignment="1"/>
    <xf numFmtId="0" fontId="18" fillId="0" borderId="0" xfId="0" applyFont="1" applyAlignment="1"/>
    <xf numFmtId="0" fontId="19" fillId="0" borderId="0" xfId="0" applyFont="1" applyAlignment="1"/>
    <xf numFmtId="0" fontId="18" fillId="0" borderId="0" xfId="0" applyNumberFormat="1" applyFont="1" applyFill="1" applyBorder="1" applyAlignment="1" applyProtection="1">
      <alignment vertical="top"/>
    </xf>
    <xf numFmtId="0" fontId="17" fillId="0" borderId="1" xfId="0" applyFont="1" applyBorder="1" applyAlignment="1">
      <alignment horizontal="right" vertical="center"/>
    </xf>
    <xf numFmtId="9" fontId="17" fillId="0" borderId="1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9" fontId="17" fillId="2" borderId="1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top"/>
    </xf>
    <xf numFmtId="4" fontId="17" fillId="0" borderId="1" xfId="0" applyNumberFormat="1" applyFont="1" applyBorder="1" applyAlignment="1">
      <alignment horizontal="right" vertical="center"/>
    </xf>
    <xf numFmtId="0" fontId="14" fillId="0" borderId="0" xfId="0" applyNumberFormat="1" applyFont="1" applyFill="1" applyBorder="1" applyAlignment="1" applyProtection="1">
      <alignment vertical="top"/>
    </xf>
    <xf numFmtId="2" fontId="8" fillId="0" borderId="0" xfId="0" applyNumberFormat="1" applyFont="1" applyAlignment="1">
      <alignment wrapText="1"/>
    </xf>
    <xf numFmtId="2" fontId="14" fillId="0" borderId="0" xfId="0" applyNumberFormat="1" applyFont="1" applyAlignment="1"/>
    <xf numFmtId="4" fontId="23" fillId="3" borderId="1" xfId="0" applyNumberFormat="1" applyFont="1" applyFill="1" applyBorder="1" applyAlignment="1" applyProtection="1"/>
    <xf numFmtId="4" fontId="2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25" fillId="3" borderId="1" xfId="0" applyNumberFormat="1" applyFont="1" applyFill="1" applyBorder="1" applyAlignment="1" applyProtection="1">
      <alignment horizontal="center" vertical="center" wrapText="1"/>
    </xf>
    <xf numFmtId="0" fontId="25" fillId="3" borderId="1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horizontal="center"/>
    </xf>
    <xf numFmtId="0" fontId="26" fillId="0" borderId="0" xfId="0" applyNumberFormat="1" applyFont="1" applyFill="1" applyBorder="1" applyAlignment="1" applyProtection="1">
      <alignment vertical="top"/>
    </xf>
    <xf numFmtId="0" fontId="4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/>
    <xf numFmtId="0" fontId="27" fillId="4" borderId="1" xfId="0" applyFont="1" applyFill="1" applyBorder="1" applyAlignment="1">
      <alignment wrapText="1"/>
    </xf>
    <xf numFmtId="9" fontId="22" fillId="4" borderId="1" xfId="0" applyNumberFormat="1" applyFont="1" applyFill="1" applyBorder="1" applyAlignment="1">
      <alignment horizontal="right" vertical="center"/>
    </xf>
    <xf numFmtId="0" fontId="22" fillId="4" borderId="1" xfId="0" applyFont="1" applyFill="1" applyBorder="1" applyAlignment="1">
      <alignment horizontal="right" vertical="center"/>
    </xf>
    <xf numFmtId="0" fontId="22" fillId="4" borderId="0" xfId="0" applyFont="1" applyFill="1" applyAlignment="1">
      <alignment horizontal="right" vertical="center"/>
    </xf>
    <xf numFmtId="4" fontId="14" fillId="3" borderId="1" xfId="0" applyNumberFormat="1" applyFont="1" applyFill="1" applyBorder="1" applyAlignment="1" applyProtection="1"/>
    <xf numFmtId="0" fontId="17" fillId="2" borderId="0" xfId="0" applyFont="1" applyFill="1" applyAlignment="1">
      <alignment horizontal="right" vertical="center"/>
    </xf>
    <xf numFmtId="2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/>
    <xf numFmtId="0" fontId="23" fillId="3" borderId="1" xfId="0" applyNumberFormat="1" applyFont="1" applyFill="1" applyBorder="1" applyAlignment="1" applyProtection="1">
      <alignment horizontal="center" vertical="top"/>
    </xf>
    <xf numFmtId="0" fontId="15" fillId="0" borderId="1" xfId="0" applyFont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20" fillId="5" borderId="5" xfId="0" applyNumberFormat="1" applyFont="1" applyFill="1" applyBorder="1" applyAlignment="1">
      <alignment horizontal="center" vertical="center"/>
    </xf>
    <xf numFmtId="0" fontId="3" fillId="6" borderId="0" xfId="0" applyFont="1" applyFill="1" applyAlignment="1"/>
    <xf numFmtId="2" fontId="3" fillId="6" borderId="0" xfId="0" applyNumberFormat="1" applyFont="1" applyFill="1" applyAlignment="1">
      <alignment horizontal="center" vertical="center"/>
    </xf>
    <xf numFmtId="165" fontId="3" fillId="6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/>
    <xf numFmtId="165" fontId="21" fillId="5" borderId="1" xfId="0" applyNumberFormat="1" applyFont="1" applyFill="1" applyBorder="1" applyAlignment="1"/>
    <xf numFmtId="165" fontId="13" fillId="0" borderId="1" xfId="0" applyNumberFormat="1" applyFont="1" applyBorder="1" applyAlignment="1"/>
    <xf numFmtId="165" fontId="13" fillId="2" borderId="1" xfId="0" applyNumberFormat="1" applyFont="1" applyFill="1" applyBorder="1" applyAlignment="1"/>
    <xf numFmtId="165" fontId="13" fillId="0" borderId="1" xfId="0" applyNumberFormat="1" applyFont="1" applyBorder="1" applyAlignment="1">
      <alignment horizontal="right"/>
    </xf>
    <xf numFmtId="165" fontId="22" fillId="5" borderId="1" xfId="0" applyNumberFormat="1" applyFont="1" applyFill="1" applyBorder="1" applyAlignment="1"/>
    <xf numFmtId="165" fontId="13" fillId="0" borderId="2" xfId="0" applyNumberFormat="1" applyFont="1" applyBorder="1" applyAlignment="1"/>
    <xf numFmtId="165" fontId="13" fillId="2" borderId="2" xfId="0" applyNumberFormat="1" applyFont="1" applyFill="1" applyBorder="1" applyAlignment="1"/>
    <xf numFmtId="165" fontId="22" fillId="4" borderId="1" xfId="0" applyNumberFormat="1" applyFont="1" applyFill="1" applyBorder="1" applyAlignment="1">
      <alignment horizontal="right" vertical="center"/>
    </xf>
    <xf numFmtId="165" fontId="17" fillId="0" borderId="1" xfId="0" applyNumberFormat="1" applyFont="1" applyBorder="1" applyAlignment="1">
      <alignment horizontal="right" vertical="center"/>
    </xf>
    <xf numFmtId="165" fontId="22" fillId="0" borderId="1" xfId="0" applyNumberFormat="1" applyFont="1" applyBorder="1" applyAlignment="1">
      <alignment horizontal="right" vertical="center"/>
    </xf>
    <xf numFmtId="165" fontId="22" fillId="0" borderId="1" xfId="0" applyNumberFormat="1" applyFont="1" applyFill="1" applyBorder="1" applyAlignment="1">
      <alignment horizontal="right" vertical="center"/>
    </xf>
    <xf numFmtId="164" fontId="22" fillId="4" borderId="1" xfId="0" applyNumberFormat="1" applyFont="1" applyFill="1" applyBorder="1" applyAlignment="1">
      <alignment horizontal="right" vertical="center"/>
    </xf>
    <xf numFmtId="164" fontId="17" fillId="0" borderId="1" xfId="0" applyNumberFormat="1" applyFont="1" applyBorder="1" applyAlignment="1">
      <alignment horizontal="right" vertical="center"/>
    </xf>
    <xf numFmtId="164" fontId="17" fillId="2" borderId="1" xfId="0" applyNumberFormat="1" applyFont="1" applyFill="1" applyBorder="1" applyAlignment="1">
      <alignment horizontal="right" vertical="center"/>
    </xf>
    <xf numFmtId="165" fontId="17" fillId="2" borderId="1" xfId="0" applyNumberFormat="1" applyFont="1" applyFill="1" applyBorder="1" applyAlignment="1">
      <alignment horizontal="right" vertical="center"/>
    </xf>
    <xf numFmtId="165" fontId="22" fillId="5" borderId="1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vertical="top"/>
    </xf>
    <xf numFmtId="9" fontId="1" fillId="0" borderId="0" xfId="0" applyNumberFormat="1" applyFont="1" applyFill="1" applyBorder="1" applyAlignment="1" applyProtection="1">
      <alignment vertical="top"/>
    </xf>
    <xf numFmtId="9" fontId="11" fillId="0" borderId="0" xfId="0" applyNumberFormat="1" applyFont="1" applyFill="1" applyBorder="1" applyAlignment="1" applyProtection="1">
      <alignment vertical="top"/>
    </xf>
    <xf numFmtId="0" fontId="10" fillId="0" borderId="4" xfId="0" applyFont="1" applyFill="1" applyBorder="1" applyAlignment="1">
      <alignment horizontal="center" vertical="top" wrapText="1"/>
    </xf>
    <xf numFmtId="2" fontId="10" fillId="0" borderId="4" xfId="0" applyNumberFormat="1" applyFont="1" applyFill="1" applyBorder="1" applyAlignment="1">
      <alignment horizontal="center" vertical="top" wrapText="1"/>
    </xf>
    <xf numFmtId="0" fontId="23" fillId="3" borderId="3" xfId="0" applyNumberFormat="1" applyFont="1" applyFill="1" applyBorder="1" applyAlignment="1" applyProtection="1">
      <alignment horizontal="center" vertical="top" wrapText="1"/>
    </xf>
    <xf numFmtId="0" fontId="23" fillId="3" borderId="6" xfId="0" applyNumberFormat="1" applyFont="1" applyFill="1" applyBorder="1" applyAlignment="1" applyProtection="1">
      <alignment horizontal="center" vertical="top" wrapText="1"/>
    </xf>
    <xf numFmtId="0" fontId="23" fillId="3" borderId="5" xfId="0" applyNumberFormat="1" applyFont="1" applyFill="1" applyBorder="1" applyAlignment="1" applyProtection="1">
      <alignment horizontal="center" vertical="top" wrapText="1"/>
    </xf>
    <xf numFmtId="0" fontId="23" fillId="3" borderId="2" xfId="0" applyNumberFormat="1" applyFont="1" applyFill="1" applyBorder="1" applyAlignment="1" applyProtection="1">
      <alignment horizontal="center" vertical="top" wrapText="1"/>
    </xf>
    <xf numFmtId="0" fontId="23" fillId="3" borderId="4" xfId="0" applyNumberFormat="1" applyFont="1" applyFill="1" applyBorder="1" applyAlignment="1" applyProtection="1">
      <alignment horizontal="center" vertical="top" wrapText="1"/>
    </xf>
    <xf numFmtId="2" fontId="20" fillId="5" borderId="5" xfId="0" applyNumberFormat="1" applyFont="1" applyFill="1" applyBorder="1" applyAlignment="1">
      <alignment horizontal="center" vertical="top" wrapText="1"/>
    </xf>
    <xf numFmtId="2" fontId="18" fillId="5" borderId="5" xfId="0" applyNumberFormat="1" applyFont="1" applyFill="1" applyBorder="1" applyAlignment="1">
      <alignment vertical="top"/>
    </xf>
    <xf numFmtId="2" fontId="8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10" fillId="0" borderId="3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15" fillId="0" borderId="2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5" fillId="0" borderId="4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164" fontId="16" fillId="5" borderId="5" xfId="0" applyNumberFormat="1" applyFont="1" applyFill="1" applyBorder="1" applyAlignment="1">
      <alignment horizontal="center" vertical="top" wrapText="1"/>
    </xf>
    <xf numFmtId="164" fontId="16" fillId="5" borderId="5" xfId="0" applyNumberFormat="1" applyFont="1" applyFill="1" applyBorder="1" applyAlignment="1">
      <alignment vertical="top"/>
    </xf>
    <xf numFmtId="1" fontId="4" fillId="4" borderId="3" xfId="0" applyNumberFormat="1" applyFont="1" applyFill="1" applyBorder="1" applyAlignment="1">
      <alignment horizontal="left" vertical="center" wrapText="1"/>
    </xf>
    <xf numFmtId="1" fontId="4" fillId="4" borderId="5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"/>
  <sheetViews>
    <sheetView view="pageBreakPreview" zoomScaleNormal="8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7" sqref="A7:XFD15"/>
    </sheetView>
  </sheetViews>
  <sheetFormatPr defaultRowHeight="12.75" x14ac:dyDescent="0.2"/>
  <cols>
    <col min="1" max="1" width="3.28515625" customWidth="1"/>
    <col min="2" max="2" width="18.5703125" customWidth="1"/>
    <col min="3" max="3" width="12" customWidth="1"/>
    <col min="4" max="4" width="13.5703125" style="14" customWidth="1"/>
    <col min="5" max="5" width="13.42578125" style="25" customWidth="1"/>
    <col min="6" max="6" width="12.85546875" style="14" customWidth="1"/>
    <col min="7" max="7" width="11.85546875" style="14" customWidth="1"/>
    <col min="8" max="8" width="11.85546875" customWidth="1"/>
    <col min="9" max="9" width="13.85546875" customWidth="1"/>
    <col min="10" max="10" width="22.140625" style="18" customWidth="1"/>
    <col min="11" max="11" width="16.28515625" hidden="1" customWidth="1"/>
    <col min="12" max="12" width="12.85546875" hidden="1" customWidth="1"/>
    <col min="13" max="15" width="10.85546875" hidden="1" customWidth="1"/>
  </cols>
  <sheetData>
    <row r="2" spans="1:15" ht="27.75" customHeight="1" x14ac:dyDescent="0.3">
      <c r="A2" s="96" t="s">
        <v>57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26"/>
    </row>
    <row r="3" spans="1:15" ht="15.75" x14ac:dyDescent="0.2">
      <c r="A3" s="1"/>
      <c r="B3" s="1"/>
      <c r="C3" s="1"/>
      <c r="D3" s="13"/>
      <c r="E3" s="27"/>
      <c r="F3" s="13"/>
      <c r="G3" s="13"/>
      <c r="J3" s="46" t="s">
        <v>0</v>
      </c>
    </row>
    <row r="4" spans="1:15" s="8" customFormat="1" ht="47.25" customHeight="1" x14ac:dyDescent="0.2">
      <c r="A4" s="101" t="s">
        <v>4</v>
      </c>
      <c r="B4" s="103" t="s">
        <v>5</v>
      </c>
      <c r="C4" s="105" t="s">
        <v>58</v>
      </c>
      <c r="D4" s="107" t="s">
        <v>74</v>
      </c>
      <c r="E4" s="108"/>
      <c r="F4" s="97" t="s">
        <v>75</v>
      </c>
      <c r="G4" s="99" t="s">
        <v>76</v>
      </c>
      <c r="H4" s="103" t="s">
        <v>59</v>
      </c>
      <c r="I4" s="105" t="s">
        <v>17</v>
      </c>
      <c r="J4" s="94" t="s">
        <v>42</v>
      </c>
      <c r="K4" s="92" t="s">
        <v>24</v>
      </c>
      <c r="L4" s="92" t="s">
        <v>21</v>
      </c>
      <c r="M4" s="89" t="s">
        <v>23</v>
      </c>
      <c r="N4" s="90"/>
      <c r="O4" s="91"/>
    </row>
    <row r="5" spans="1:15" s="8" customFormat="1" ht="105.75" customHeight="1" x14ac:dyDescent="0.2">
      <c r="A5" s="102"/>
      <c r="B5" s="104"/>
      <c r="C5" s="106"/>
      <c r="D5" s="87" t="s">
        <v>37</v>
      </c>
      <c r="E5" s="88" t="s">
        <v>27</v>
      </c>
      <c r="F5" s="98"/>
      <c r="G5" s="100"/>
      <c r="H5" s="104"/>
      <c r="I5" s="109"/>
      <c r="J5" s="95"/>
      <c r="K5" s="93"/>
      <c r="L5" s="93"/>
      <c r="M5" s="58" t="s">
        <v>20</v>
      </c>
      <c r="N5" s="58" t="s">
        <v>25</v>
      </c>
      <c r="O5" s="58" t="s">
        <v>26</v>
      </c>
    </row>
    <row r="6" spans="1:15" s="44" customFormat="1" ht="22.5" customHeight="1" x14ac:dyDescent="0.2">
      <c r="A6" s="38">
        <v>1</v>
      </c>
      <c r="B6" s="38">
        <v>2</v>
      </c>
      <c r="C6" s="38">
        <v>3</v>
      </c>
      <c r="D6" s="39">
        <v>4</v>
      </c>
      <c r="E6" s="40" t="s">
        <v>32</v>
      </c>
      <c r="F6" s="40" t="s">
        <v>33</v>
      </c>
      <c r="G6" s="40" t="s">
        <v>40</v>
      </c>
      <c r="H6" s="41" t="s">
        <v>34</v>
      </c>
      <c r="I6" s="41" t="s">
        <v>35</v>
      </c>
      <c r="J6" s="61" t="s">
        <v>36</v>
      </c>
      <c r="K6" s="42" t="s">
        <v>22</v>
      </c>
      <c r="L6" s="43">
        <v>13</v>
      </c>
      <c r="M6" s="43">
        <v>14</v>
      </c>
      <c r="N6" s="43">
        <v>15</v>
      </c>
      <c r="O6" s="43">
        <v>16</v>
      </c>
    </row>
    <row r="7" spans="1:15" ht="31.5" hidden="1" x14ac:dyDescent="0.25">
      <c r="A7" s="48"/>
      <c r="B7" s="49" t="s">
        <v>6</v>
      </c>
      <c r="C7" s="67">
        <f>SUM(C9:C16)</f>
        <v>1403.4999999999998</v>
      </c>
      <c r="D7" s="67">
        <f>SUM(D8:D16)</f>
        <v>2964.6</v>
      </c>
      <c r="E7" s="67">
        <f>SUM(E8:E16)</f>
        <v>1400.5000000000002</v>
      </c>
      <c r="F7" s="67">
        <f>SUM(F8:F16)</f>
        <v>13.5</v>
      </c>
      <c r="G7" s="67">
        <f>SUM(G9:G16)</f>
        <v>2.7</v>
      </c>
      <c r="H7" s="67">
        <f>SUM(H9:H16)</f>
        <v>1403.2</v>
      </c>
      <c r="I7" s="67">
        <v>1</v>
      </c>
      <c r="J7" s="68">
        <v>1403.3</v>
      </c>
      <c r="K7" s="28">
        <f>SUM(K9:K16)</f>
        <v>15013.128205128207</v>
      </c>
      <c r="L7" s="28">
        <f>SUM(L9:L16)</f>
        <v>99.999999999999972</v>
      </c>
      <c r="M7" s="53">
        <v>25120</v>
      </c>
      <c r="N7" s="53">
        <v>26011</v>
      </c>
      <c r="O7" s="53">
        <v>26793</v>
      </c>
    </row>
    <row r="8" spans="1:15" ht="15.75" hidden="1" x14ac:dyDescent="0.25">
      <c r="A8" s="30" t="s">
        <v>7</v>
      </c>
      <c r="B8" s="6" t="s">
        <v>8</v>
      </c>
      <c r="C8" s="69"/>
      <c r="D8" s="70"/>
      <c r="E8" s="70"/>
      <c r="F8" s="70"/>
      <c r="G8" s="70"/>
      <c r="H8" s="69"/>
      <c r="I8" s="71" t="s">
        <v>39</v>
      </c>
      <c r="J8" s="72">
        <f>(H9*50%)+(H10*70%+H11*70%+H12*70%+H13*70%+H14*70%+H15*70%+H16*70%)</f>
        <v>817.68799999999999</v>
      </c>
      <c r="K8" s="28"/>
      <c r="L8" s="28"/>
      <c r="M8" s="28"/>
      <c r="N8" s="28"/>
      <c r="O8" s="28"/>
    </row>
    <row r="9" spans="1:15" ht="15.75" hidden="1" x14ac:dyDescent="0.25">
      <c r="A9" s="5">
        <v>2</v>
      </c>
      <c r="B9" s="6" t="s">
        <v>9</v>
      </c>
      <c r="C9" s="69">
        <v>852.3</v>
      </c>
      <c r="D9" s="70">
        <v>805.5</v>
      </c>
      <c r="E9" s="70">
        <v>820.4</v>
      </c>
      <c r="F9" s="70">
        <v>11.8</v>
      </c>
      <c r="G9" s="70">
        <f>F9*20%</f>
        <v>2.3600000000000003</v>
      </c>
      <c r="H9" s="69">
        <f t="shared" ref="H9:H16" si="0">SUM(E9+G9)</f>
        <v>822.76</v>
      </c>
      <c r="I9" s="69">
        <v>0.5</v>
      </c>
      <c r="J9" s="68">
        <f>H9*I9</f>
        <v>411.38</v>
      </c>
      <c r="K9" s="28">
        <f>J9/65%/6%</f>
        <v>10548.205128205129</v>
      </c>
      <c r="L9" s="28">
        <f>K9/K7*100</f>
        <v>70.259875117845567</v>
      </c>
      <c r="M9" s="28">
        <f>M7*L9/100</f>
        <v>17649.280629602807</v>
      </c>
      <c r="N9" s="28">
        <f>N7*L9/100</f>
        <v>18275.296116902809</v>
      </c>
      <c r="O9" s="28">
        <f>O7*L9/100</f>
        <v>18824.728340324364</v>
      </c>
    </row>
    <row r="10" spans="1:15" ht="15.75" hidden="1" x14ac:dyDescent="0.25">
      <c r="A10" s="5">
        <v>3</v>
      </c>
      <c r="B10" s="6" t="s">
        <v>10</v>
      </c>
      <c r="C10" s="69">
        <v>24.3</v>
      </c>
      <c r="D10" s="70">
        <v>9.6</v>
      </c>
      <c r="E10" s="70">
        <v>9.9</v>
      </c>
      <c r="F10" s="70"/>
      <c r="G10" s="70">
        <f t="shared" ref="G10:G16" si="1">F10*20%</f>
        <v>0</v>
      </c>
      <c r="H10" s="69">
        <f t="shared" si="0"/>
        <v>9.9</v>
      </c>
      <c r="I10" s="69">
        <v>0.3</v>
      </c>
      <c r="J10" s="68">
        <f t="shared" ref="J10:J16" si="2">H10*I10</f>
        <v>2.97</v>
      </c>
      <c r="K10" s="28">
        <f t="shared" ref="K10:K16" si="3">J10/65%/6%</f>
        <v>76.153846153846146</v>
      </c>
      <c r="L10" s="28">
        <f>K10/K7*100</f>
        <v>0.5072483569935371</v>
      </c>
      <c r="M10" s="28">
        <f>M7*L10/100</f>
        <v>127.42078727677652</v>
      </c>
      <c r="N10" s="28">
        <f>N7*L10/100</f>
        <v>131.94037013758896</v>
      </c>
      <c r="O10" s="28">
        <f>O7*L10/100</f>
        <v>135.9070522892784</v>
      </c>
    </row>
    <row r="11" spans="1:15" ht="15.75" hidden="1" x14ac:dyDescent="0.25">
      <c r="A11" s="5">
        <v>4</v>
      </c>
      <c r="B11" s="6" t="s">
        <v>11</v>
      </c>
      <c r="C11" s="69">
        <v>4.3</v>
      </c>
      <c r="D11" s="70">
        <v>11</v>
      </c>
      <c r="E11" s="70">
        <v>10.6</v>
      </c>
      <c r="F11" s="70"/>
      <c r="G11" s="70">
        <f t="shared" si="1"/>
        <v>0</v>
      </c>
      <c r="H11" s="69">
        <f t="shared" si="0"/>
        <v>10.6</v>
      </c>
      <c r="I11" s="69">
        <v>0.3</v>
      </c>
      <c r="J11" s="68">
        <f t="shared" si="2"/>
        <v>3.1799999999999997</v>
      </c>
      <c r="K11" s="28">
        <f t="shared" si="3"/>
        <v>81.538461538461533</v>
      </c>
      <c r="L11" s="28">
        <f>K11/K7*100</f>
        <v>0.54311440243752462</v>
      </c>
      <c r="M11" s="28">
        <f>M7*L11/100</f>
        <v>136.43033789230617</v>
      </c>
      <c r="N11" s="28">
        <f>N7*L11/100</f>
        <v>141.26948721802452</v>
      </c>
      <c r="O11" s="28">
        <f>O7*L11/100</f>
        <v>145.51664184508599</v>
      </c>
    </row>
    <row r="12" spans="1:15" ht="15.75" hidden="1" x14ac:dyDescent="0.25">
      <c r="A12" s="5">
        <v>5</v>
      </c>
      <c r="B12" s="6" t="s">
        <v>12</v>
      </c>
      <c r="C12" s="69">
        <v>5.6</v>
      </c>
      <c r="D12" s="70">
        <v>58.9</v>
      </c>
      <c r="E12" s="70">
        <v>57</v>
      </c>
      <c r="F12" s="70"/>
      <c r="G12" s="70">
        <f t="shared" si="1"/>
        <v>0</v>
      </c>
      <c r="H12" s="69">
        <f t="shared" si="0"/>
        <v>57</v>
      </c>
      <c r="I12" s="69">
        <v>0.3</v>
      </c>
      <c r="J12" s="68">
        <f t="shared" si="2"/>
        <v>17.099999999999998</v>
      </c>
      <c r="K12" s="28">
        <f t="shared" si="3"/>
        <v>438.4615384615384</v>
      </c>
      <c r="L12" s="28">
        <f>K12/K7*100</f>
        <v>2.9205208432961229</v>
      </c>
      <c r="M12" s="28">
        <f>M7*L12/100</f>
        <v>733.634835835986</v>
      </c>
      <c r="N12" s="28">
        <f>N7*L12/100</f>
        <v>759.65667654975448</v>
      </c>
      <c r="O12" s="28">
        <f>O7*L12/100</f>
        <v>782.49514954433016</v>
      </c>
    </row>
    <row r="13" spans="1:15" ht="15.75" hidden="1" x14ac:dyDescent="0.25">
      <c r="A13" s="5">
        <v>6</v>
      </c>
      <c r="B13" s="6" t="s">
        <v>13</v>
      </c>
      <c r="C13" s="69">
        <v>232.9</v>
      </c>
      <c r="D13" s="70">
        <v>407.9</v>
      </c>
      <c r="E13" s="70">
        <v>409.8</v>
      </c>
      <c r="F13" s="70"/>
      <c r="G13" s="70">
        <f t="shared" si="1"/>
        <v>0</v>
      </c>
      <c r="H13" s="69">
        <f t="shared" si="0"/>
        <v>409.8</v>
      </c>
      <c r="I13" s="69">
        <v>0.3</v>
      </c>
      <c r="J13" s="68">
        <f t="shared" si="2"/>
        <v>122.94</v>
      </c>
      <c r="K13" s="28">
        <f t="shared" si="3"/>
        <v>3152.3076923076924</v>
      </c>
      <c r="L13" s="28">
        <f>K13/K7*100</f>
        <v>20.997007747065812</v>
      </c>
      <c r="M13" s="28">
        <f>M7*L13/100</f>
        <v>5274.4483460629326</v>
      </c>
      <c r="N13" s="28">
        <f>N7*L13/100</f>
        <v>5461.5316850892887</v>
      </c>
      <c r="O13" s="28">
        <f>O7*L13/100</f>
        <v>5625.7282856713437</v>
      </c>
    </row>
    <row r="14" spans="1:15" ht="15.75" hidden="1" x14ac:dyDescent="0.25">
      <c r="A14" s="5">
        <v>7</v>
      </c>
      <c r="B14" s="6" t="s">
        <v>14</v>
      </c>
      <c r="C14" s="69">
        <v>243.8</v>
      </c>
      <c r="D14" s="70">
        <v>1623.8</v>
      </c>
      <c r="E14" s="70">
        <v>46.9</v>
      </c>
      <c r="F14" s="70">
        <v>1.7</v>
      </c>
      <c r="G14" s="70">
        <f t="shared" si="1"/>
        <v>0.34</v>
      </c>
      <c r="H14" s="69">
        <f t="shared" si="0"/>
        <v>47.24</v>
      </c>
      <c r="I14" s="69">
        <v>0.3</v>
      </c>
      <c r="J14" s="68">
        <f t="shared" si="2"/>
        <v>14.172000000000001</v>
      </c>
      <c r="K14" s="28">
        <f t="shared" si="3"/>
        <v>363.38461538461536</v>
      </c>
      <c r="L14" s="28">
        <f>K14/K7*100</f>
        <v>2.4204456953913835</v>
      </c>
      <c r="M14" s="28">
        <f>M7*L14/100</f>
        <v>608.0159586823155</v>
      </c>
      <c r="N14" s="28">
        <f>N7*L14/100</f>
        <v>629.58212982825285</v>
      </c>
      <c r="O14" s="28">
        <f>O7*L14/100</f>
        <v>648.51001516621341</v>
      </c>
    </row>
    <row r="15" spans="1:15" ht="15.75" hidden="1" x14ac:dyDescent="0.25">
      <c r="A15" s="5">
        <v>8</v>
      </c>
      <c r="B15" s="7" t="s">
        <v>15</v>
      </c>
      <c r="C15" s="73">
        <v>6</v>
      </c>
      <c r="D15" s="74">
        <v>11</v>
      </c>
      <c r="E15" s="70">
        <v>9</v>
      </c>
      <c r="F15" s="74"/>
      <c r="G15" s="70">
        <f t="shared" si="1"/>
        <v>0</v>
      </c>
      <c r="H15" s="69">
        <f t="shared" si="0"/>
        <v>9</v>
      </c>
      <c r="I15" s="69">
        <v>0.3</v>
      </c>
      <c r="J15" s="68">
        <f t="shared" si="2"/>
        <v>2.6999999999999997</v>
      </c>
      <c r="K15" s="28">
        <f t="shared" si="3"/>
        <v>69.230769230769226</v>
      </c>
      <c r="L15" s="28">
        <f>K15/K7*100</f>
        <v>0.46113486999412467</v>
      </c>
      <c r="M15" s="28">
        <f>M7*L15/100</f>
        <v>115.83707934252412</v>
      </c>
      <c r="N15" s="28">
        <f>N7*L15/100</f>
        <v>119.94579103417176</v>
      </c>
      <c r="O15" s="28">
        <f>O7*L15/100</f>
        <v>123.55186571752581</v>
      </c>
    </row>
    <row r="16" spans="1:15" ht="15.75" x14ac:dyDescent="0.25">
      <c r="A16" s="5">
        <v>9</v>
      </c>
      <c r="B16" s="6" t="s">
        <v>16</v>
      </c>
      <c r="C16" s="69">
        <v>34.299999999999997</v>
      </c>
      <c r="D16" s="70">
        <v>36.9</v>
      </c>
      <c r="E16" s="70">
        <v>36.9</v>
      </c>
      <c r="F16" s="70"/>
      <c r="G16" s="70">
        <f t="shared" si="1"/>
        <v>0</v>
      </c>
      <c r="H16" s="69">
        <f t="shared" si="0"/>
        <v>36.9</v>
      </c>
      <c r="I16" s="69">
        <v>0.3</v>
      </c>
      <c r="J16" s="68">
        <f t="shared" si="2"/>
        <v>11.069999999999999</v>
      </c>
      <c r="K16" s="28">
        <f t="shared" si="3"/>
        <v>283.84615384615381</v>
      </c>
      <c r="L16" s="28">
        <f>K16/K7*100</f>
        <v>1.8906529669759111</v>
      </c>
      <c r="M16" s="28">
        <f>M7*L16/100</f>
        <v>474.93202530434888</v>
      </c>
      <c r="N16" s="28">
        <f>N7*L16/100</f>
        <v>491.77774324010426</v>
      </c>
      <c r="O16" s="28">
        <f>O7*L16/100</f>
        <v>506.56264944185591</v>
      </c>
    </row>
  </sheetData>
  <mergeCells count="13">
    <mergeCell ref="M4:O4"/>
    <mergeCell ref="L4:L5"/>
    <mergeCell ref="J4:J5"/>
    <mergeCell ref="A2:K2"/>
    <mergeCell ref="F4:F5"/>
    <mergeCell ref="G4:G5"/>
    <mergeCell ref="A4:A5"/>
    <mergeCell ref="B4:B5"/>
    <mergeCell ref="C4:C5"/>
    <mergeCell ref="D4:E4"/>
    <mergeCell ref="H4:H5"/>
    <mergeCell ref="I4:I5"/>
    <mergeCell ref="K4:K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="85" zoomScaleNormal="85" workbookViewId="0">
      <selection activeCell="A19" sqref="A19:XFD19"/>
    </sheetView>
  </sheetViews>
  <sheetFormatPr defaultRowHeight="12.75" x14ac:dyDescent="0.2"/>
  <cols>
    <col min="1" max="1" width="5" customWidth="1"/>
    <col min="3" max="3" width="13.140625" customWidth="1"/>
    <col min="4" max="4" width="12.7109375" customWidth="1"/>
    <col min="5" max="5" width="13.85546875" style="8" customWidth="1"/>
    <col min="7" max="7" width="12" customWidth="1"/>
    <col min="9" max="9" width="12" style="14" customWidth="1"/>
    <col min="10" max="10" width="11.28515625" style="14" customWidth="1"/>
    <col min="11" max="11" width="12.7109375" customWidth="1"/>
    <col min="12" max="16" width="0" hidden="1" customWidth="1"/>
    <col min="17" max="17" width="11.85546875" style="14" customWidth="1"/>
    <col min="18" max="18" width="15" style="18" customWidth="1"/>
  </cols>
  <sheetData>
    <row r="1" spans="1:18" s="1" customFormat="1" x14ac:dyDescent="0.2">
      <c r="D1" s="116"/>
      <c r="E1" s="116"/>
      <c r="F1" s="116"/>
      <c r="G1" s="116"/>
      <c r="H1" s="116"/>
      <c r="I1" s="116"/>
      <c r="J1" s="116"/>
      <c r="Q1" s="13"/>
      <c r="R1" s="16"/>
    </row>
    <row r="2" spans="1:18" s="1" customFormat="1" x14ac:dyDescent="0.2">
      <c r="D2" s="116"/>
      <c r="E2" s="116"/>
      <c r="F2" s="116"/>
      <c r="G2" s="116"/>
      <c r="H2" s="116"/>
      <c r="I2" s="116"/>
      <c r="J2" s="116"/>
      <c r="Q2" s="13"/>
      <c r="R2" s="16"/>
    </row>
    <row r="3" spans="1:18" s="1" customFormat="1" ht="39.75" customHeight="1" x14ac:dyDescent="0.2">
      <c r="A3" s="117" t="s">
        <v>43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Q3" s="13"/>
      <c r="R3" s="16"/>
    </row>
    <row r="4" spans="1:18" s="1" customFormat="1" ht="18.75" x14ac:dyDescent="0.3">
      <c r="A4" s="2"/>
      <c r="B4" s="2"/>
      <c r="C4" s="2"/>
      <c r="D4" s="9"/>
      <c r="E4" s="3"/>
      <c r="I4" s="13"/>
      <c r="J4" s="13"/>
      <c r="K4" s="45" t="s">
        <v>0</v>
      </c>
      <c r="Q4" s="3"/>
      <c r="R4" s="16"/>
    </row>
    <row r="5" spans="1:18" s="1" customFormat="1" ht="12.75" customHeight="1" x14ac:dyDescent="0.2">
      <c r="A5" s="118" t="s">
        <v>2</v>
      </c>
      <c r="B5" s="119" t="s">
        <v>1</v>
      </c>
      <c r="C5" s="119"/>
      <c r="D5" s="114" t="s">
        <v>60</v>
      </c>
      <c r="E5" s="120" t="s">
        <v>61</v>
      </c>
      <c r="F5" s="121" t="s">
        <v>3</v>
      </c>
      <c r="G5" s="123" t="s">
        <v>47</v>
      </c>
      <c r="H5" s="123" t="s">
        <v>48</v>
      </c>
      <c r="I5" s="123" t="s">
        <v>62</v>
      </c>
      <c r="J5" s="123" t="s">
        <v>46</v>
      </c>
      <c r="K5" s="123" t="s">
        <v>45</v>
      </c>
      <c r="L5" s="112"/>
      <c r="M5" s="112"/>
      <c r="N5" s="112"/>
      <c r="O5" s="112"/>
      <c r="P5" s="23"/>
      <c r="Q5" s="124" t="s">
        <v>19</v>
      </c>
      <c r="R5" s="126" t="s">
        <v>44</v>
      </c>
    </row>
    <row r="6" spans="1:18" s="1" customFormat="1" ht="143.25" customHeight="1" x14ac:dyDescent="0.2">
      <c r="A6" s="118"/>
      <c r="B6" s="119"/>
      <c r="C6" s="119"/>
      <c r="D6" s="115"/>
      <c r="E6" s="120"/>
      <c r="F6" s="122"/>
      <c r="G6" s="122"/>
      <c r="H6" s="122"/>
      <c r="I6" s="122"/>
      <c r="J6" s="122"/>
      <c r="K6" s="122"/>
      <c r="L6" s="113"/>
      <c r="M6" s="113"/>
      <c r="N6" s="113"/>
      <c r="O6" s="113"/>
      <c r="P6" s="23"/>
      <c r="Q6" s="125"/>
      <c r="R6" s="127"/>
    </row>
    <row r="7" spans="1:18" s="32" customFormat="1" ht="33" customHeight="1" x14ac:dyDescent="0.2">
      <c r="A7" s="12">
        <v>1</v>
      </c>
      <c r="B7" s="130">
        <v>2</v>
      </c>
      <c r="C7" s="130"/>
      <c r="D7" s="37" t="s">
        <v>28</v>
      </c>
      <c r="E7" s="31">
        <v>4</v>
      </c>
      <c r="F7" s="33">
        <v>5</v>
      </c>
      <c r="G7" s="59" t="s">
        <v>29</v>
      </c>
      <c r="H7" s="34">
        <v>7</v>
      </c>
      <c r="I7" s="35">
        <v>8</v>
      </c>
      <c r="J7" s="66" t="s">
        <v>41</v>
      </c>
      <c r="K7" s="59" t="s">
        <v>30</v>
      </c>
      <c r="L7" s="34">
        <v>12</v>
      </c>
      <c r="M7" s="34">
        <v>13</v>
      </c>
      <c r="N7" s="34"/>
      <c r="O7" s="34"/>
      <c r="P7" s="36"/>
      <c r="Q7" s="35">
        <v>11</v>
      </c>
      <c r="R7" s="60" t="s">
        <v>31</v>
      </c>
    </row>
    <row r="8" spans="1:18" s="13" customFormat="1" ht="25.5" hidden="1" customHeight="1" x14ac:dyDescent="0.2">
      <c r="A8" s="47">
        <v>1</v>
      </c>
      <c r="B8" s="128" t="s">
        <v>18</v>
      </c>
      <c r="C8" s="129"/>
      <c r="D8" s="75">
        <f>SUM(D10:D17)</f>
        <v>1403.2</v>
      </c>
      <c r="E8" s="75">
        <f>SUM(E10:E17)</f>
        <v>22663</v>
      </c>
      <c r="F8" s="50">
        <v>0.06</v>
      </c>
      <c r="G8" s="79">
        <f>E8*F8</f>
        <v>1359.78</v>
      </c>
      <c r="H8" s="50">
        <v>1</v>
      </c>
      <c r="I8" s="75">
        <f>SUM(I10:I17)</f>
        <v>10.8</v>
      </c>
      <c r="J8" s="75">
        <f>SUM(J10:J17)</f>
        <v>2.16</v>
      </c>
      <c r="K8" s="75">
        <f>SUM(K10:K17)</f>
        <v>1361.94</v>
      </c>
      <c r="L8" s="51"/>
      <c r="M8" s="51"/>
      <c r="N8" s="51"/>
      <c r="O8" s="51"/>
      <c r="P8" s="52"/>
      <c r="Q8" s="50">
        <v>1</v>
      </c>
      <c r="R8" s="83">
        <v>1362.1</v>
      </c>
    </row>
    <row r="9" spans="1:18" s="1" customFormat="1" ht="15" hidden="1" customHeight="1" x14ac:dyDescent="0.25">
      <c r="A9" s="4">
        <v>2</v>
      </c>
      <c r="B9" s="110" t="s">
        <v>8</v>
      </c>
      <c r="C9" s="111"/>
      <c r="D9" s="76"/>
      <c r="E9" s="77"/>
      <c r="F9" s="20"/>
      <c r="G9" s="80">
        <f t="shared" ref="G9:G17" si="0">E9*F9</f>
        <v>0</v>
      </c>
      <c r="H9" s="20"/>
      <c r="I9" s="82"/>
      <c r="J9" s="82"/>
      <c r="K9" s="76">
        <f t="shared" ref="K9:K17" si="1">G9*H9+J9</f>
        <v>0</v>
      </c>
      <c r="L9" s="19"/>
      <c r="M9" s="19"/>
      <c r="N9" s="19"/>
      <c r="O9" s="19"/>
      <c r="P9" s="21"/>
      <c r="Q9" s="22" t="s">
        <v>38</v>
      </c>
      <c r="R9" s="72">
        <f>((K10*50%)+(K11+K12+K13+K14+K15+K16+K17)*70%)</f>
        <v>788.24599999999987</v>
      </c>
    </row>
    <row r="10" spans="1:18" s="1" customFormat="1" ht="17.25" hidden="1" customHeight="1" x14ac:dyDescent="0.25">
      <c r="A10" s="4">
        <v>3</v>
      </c>
      <c r="B10" s="110" t="s">
        <v>9</v>
      </c>
      <c r="C10" s="111"/>
      <c r="D10" s="76">
        <f>SUM('Оценка 2019'!H9)</f>
        <v>822.76</v>
      </c>
      <c r="E10" s="77">
        <v>13728</v>
      </c>
      <c r="F10" s="20">
        <v>0.06</v>
      </c>
      <c r="G10" s="80">
        <f t="shared" si="0"/>
        <v>823.68</v>
      </c>
      <c r="H10" s="20">
        <v>1</v>
      </c>
      <c r="I10" s="82">
        <v>9.4</v>
      </c>
      <c r="J10" s="82">
        <f>I10*20%</f>
        <v>1.8800000000000001</v>
      </c>
      <c r="K10" s="76">
        <f t="shared" si="1"/>
        <v>825.56</v>
      </c>
      <c r="L10" s="19"/>
      <c r="M10" s="19"/>
      <c r="N10" s="19"/>
      <c r="O10" s="19"/>
      <c r="P10" s="21"/>
      <c r="Q10" s="22">
        <v>0.5</v>
      </c>
      <c r="R10" s="72">
        <f t="shared" ref="R10:R17" si="2">SUM(K10*Q10)</f>
        <v>412.78</v>
      </c>
    </row>
    <row r="11" spans="1:18" s="1" customFormat="1" ht="18" hidden="1" customHeight="1" x14ac:dyDescent="0.25">
      <c r="A11" s="4">
        <v>4</v>
      </c>
      <c r="B11" s="110" t="s">
        <v>10</v>
      </c>
      <c r="C11" s="111"/>
      <c r="D11" s="76">
        <f>SUM('Оценка 2019'!H10)</f>
        <v>9.9</v>
      </c>
      <c r="E11" s="77">
        <v>198</v>
      </c>
      <c r="F11" s="20">
        <v>0.06</v>
      </c>
      <c r="G11" s="80">
        <f t="shared" si="0"/>
        <v>11.879999999999999</v>
      </c>
      <c r="H11" s="20">
        <v>1</v>
      </c>
      <c r="I11" s="82"/>
      <c r="J11" s="82"/>
      <c r="K11" s="76">
        <f t="shared" si="1"/>
        <v>11.879999999999999</v>
      </c>
      <c r="L11" s="19"/>
      <c r="M11" s="19"/>
      <c r="N11" s="19"/>
      <c r="O11" s="19"/>
      <c r="P11" s="21"/>
      <c r="Q11" s="22">
        <v>0.3</v>
      </c>
      <c r="R11" s="72">
        <f t="shared" si="2"/>
        <v>3.5639999999999996</v>
      </c>
    </row>
    <row r="12" spans="1:18" s="1" customFormat="1" ht="21" hidden="1" customHeight="1" x14ac:dyDescent="0.25">
      <c r="A12" s="4">
        <v>5</v>
      </c>
      <c r="B12" s="110" t="s">
        <v>11</v>
      </c>
      <c r="C12" s="111"/>
      <c r="D12" s="76">
        <f>SUM('Оценка 2019'!H11)</f>
        <v>10.6</v>
      </c>
      <c r="E12" s="77">
        <v>175</v>
      </c>
      <c r="F12" s="20">
        <v>0.06</v>
      </c>
      <c r="G12" s="80">
        <f t="shared" si="0"/>
        <v>10.5</v>
      </c>
      <c r="H12" s="20">
        <v>1</v>
      </c>
      <c r="I12" s="82"/>
      <c r="J12" s="82"/>
      <c r="K12" s="76">
        <f t="shared" si="1"/>
        <v>10.5</v>
      </c>
      <c r="L12" s="19"/>
      <c r="M12" s="19"/>
      <c r="N12" s="19"/>
      <c r="O12" s="19"/>
      <c r="P12" s="21"/>
      <c r="Q12" s="22">
        <v>0.3</v>
      </c>
      <c r="R12" s="72">
        <f t="shared" si="2"/>
        <v>3.15</v>
      </c>
    </row>
    <row r="13" spans="1:18" s="1" customFormat="1" ht="17.25" hidden="1" customHeight="1" x14ac:dyDescent="0.25">
      <c r="A13" s="4">
        <v>6</v>
      </c>
      <c r="B13" s="110" t="s">
        <v>12</v>
      </c>
      <c r="C13" s="111"/>
      <c r="D13" s="76">
        <f>SUM('Оценка 2019'!H12)</f>
        <v>57</v>
      </c>
      <c r="E13" s="77">
        <v>959</v>
      </c>
      <c r="F13" s="20">
        <v>0.06</v>
      </c>
      <c r="G13" s="80">
        <f t="shared" si="0"/>
        <v>57.54</v>
      </c>
      <c r="H13" s="20">
        <v>1</v>
      </c>
      <c r="I13" s="82"/>
      <c r="J13" s="82"/>
      <c r="K13" s="76">
        <f t="shared" si="1"/>
        <v>57.54</v>
      </c>
      <c r="L13" s="19"/>
      <c r="M13" s="19"/>
      <c r="N13" s="19"/>
      <c r="O13" s="19"/>
      <c r="P13" s="21"/>
      <c r="Q13" s="22">
        <v>0.3</v>
      </c>
      <c r="R13" s="72">
        <f t="shared" si="2"/>
        <v>17.262</v>
      </c>
    </row>
    <row r="14" spans="1:18" s="1" customFormat="1" ht="15.75" hidden="1" customHeight="1" x14ac:dyDescent="0.25">
      <c r="A14" s="4">
        <v>7</v>
      </c>
      <c r="B14" s="110" t="s">
        <v>13</v>
      </c>
      <c r="C14" s="111"/>
      <c r="D14" s="76">
        <f>SUM('Оценка 2019'!H13)</f>
        <v>409.8</v>
      </c>
      <c r="E14" s="77">
        <v>5839</v>
      </c>
      <c r="F14" s="20">
        <v>0.06</v>
      </c>
      <c r="G14" s="80">
        <f t="shared" si="0"/>
        <v>350.34</v>
      </c>
      <c r="H14" s="20">
        <v>1</v>
      </c>
      <c r="I14" s="82"/>
      <c r="J14" s="82"/>
      <c r="K14" s="76">
        <f t="shared" si="1"/>
        <v>350.34</v>
      </c>
      <c r="L14" s="19"/>
      <c r="M14" s="19"/>
      <c r="N14" s="19"/>
      <c r="O14" s="19"/>
      <c r="P14" s="21"/>
      <c r="Q14" s="22">
        <v>0.3</v>
      </c>
      <c r="R14" s="72">
        <f t="shared" si="2"/>
        <v>105.10199999999999</v>
      </c>
    </row>
    <row r="15" spans="1:18" s="1" customFormat="1" ht="15.75" hidden="1" customHeight="1" x14ac:dyDescent="0.25">
      <c r="A15" s="4">
        <v>8</v>
      </c>
      <c r="B15" s="110" t="s">
        <v>14</v>
      </c>
      <c r="C15" s="111"/>
      <c r="D15" s="76">
        <f>SUM('Оценка 2019'!H14)</f>
        <v>47.24</v>
      </c>
      <c r="E15" s="78">
        <v>994</v>
      </c>
      <c r="F15" s="22">
        <v>0.06</v>
      </c>
      <c r="G15" s="81">
        <f t="shared" si="0"/>
        <v>59.64</v>
      </c>
      <c r="H15" s="20">
        <v>1</v>
      </c>
      <c r="I15" s="82">
        <v>1.4</v>
      </c>
      <c r="J15" s="82">
        <f t="shared" ref="J15" si="3">I15*20%</f>
        <v>0.27999999999999997</v>
      </c>
      <c r="K15" s="82">
        <f t="shared" si="1"/>
        <v>59.92</v>
      </c>
      <c r="L15" s="54"/>
      <c r="M15" s="54"/>
      <c r="N15" s="54"/>
      <c r="O15" s="54"/>
      <c r="P15" s="54"/>
      <c r="Q15" s="22">
        <v>0.3</v>
      </c>
      <c r="R15" s="72">
        <f t="shared" si="2"/>
        <v>17.975999999999999</v>
      </c>
    </row>
    <row r="16" spans="1:18" s="1" customFormat="1" ht="18.75" hidden="1" customHeight="1" x14ac:dyDescent="0.25">
      <c r="A16" s="4">
        <v>9</v>
      </c>
      <c r="B16" s="110" t="s">
        <v>15</v>
      </c>
      <c r="C16" s="111"/>
      <c r="D16" s="76">
        <f>SUM('Оценка 2019'!H15)</f>
        <v>9</v>
      </c>
      <c r="E16" s="78">
        <v>150</v>
      </c>
      <c r="F16" s="22">
        <v>0.06</v>
      </c>
      <c r="G16" s="81">
        <f t="shared" si="0"/>
        <v>9</v>
      </c>
      <c r="H16" s="20">
        <v>1</v>
      </c>
      <c r="I16" s="82"/>
      <c r="J16" s="82"/>
      <c r="K16" s="82">
        <f t="shared" si="1"/>
        <v>9</v>
      </c>
      <c r="L16" s="54"/>
      <c r="M16" s="54"/>
      <c r="N16" s="54"/>
      <c r="O16" s="54"/>
      <c r="P16" s="54"/>
      <c r="Q16" s="22">
        <v>0.3</v>
      </c>
      <c r="R16" s="72">
        <f t="shared" si="2"/>
        <v>2.6999999999999997</v>
      </c>
    </row>
    <row r="17" spans="1:18" s="1" customFormat="1" ht="18.75" x14ac:dyDescent="0.3">
      <c r="A17" s="10">
        <v>10</v>
      </c>
      <c r="B17" s="110" t="s">
        <v>16</v>
      </c>
      <c r="C17" s="111"/>
      <c r="D17" s="76">
        <f>SUM('Оценка 2019'!H16)</f>
        <v>36.9</v>
      </c>
      <c r="E17" s="77">
        <v>620</v>
      </c>
      <c r="F17" s="20">
        <v>0.06</v>
      </c>
      <c r="G17" s="80">
        <f t="shared" si="0"/>
        <v>37.199999999999996</v>
      </c>
      <c r="H17" s="20">
        <v>1</v>
      </c>
      <c r="I17" s="82"/>
      <c r="J17" s="82"/>
      <c r="K17" s="82">
        <f t="shared" si="1"/>
        <v>37.199999999999996</v>
      </c>
      <c r="L17" s="21"/>
      <c r="M17" s="21"/>
      <c r="N17" s="21"/>
      <c r="O17" s="21"/>
      <c r="P17" s="21"/>
      <c r="Q17" s="22">
        <v>0.3</v>
      </c>
      <c r="R17" s="72">
        <f t="shared" si="2"/>
        <v>11.159999999999998</v>
      </c>
    </row>
    <row r="18" spans="1:18" s="1" customFormat="1" ht="46.5" customHeight="1" x14ac:dyDescent="0.3">
      <c r="A18" s="2"/>
      <c r="C18" s="2"/>
      <c r="D18" s="55"/>
      <c r="E18" s="56"/>
      <c r="F18" s="57"/>
      <c r="G18" s="11"/>
      <c r="H18" s="11"/>
      <c r="I18" s="15"/>
      <c r="J18" s="15"/>
      <c r="K18" s="11"/>
      <c r="L18" s="11"/>
      <c r="M18" s="11"/>
      <c r="N18" s="11"/>
      <c r="O18" s="11"/>
      <c r="P18" s="11"/>
      <c r="Q18" s="15"/>
      <c r="R18" s="17"/>
    </row>
    <row r="19" spans="1:18" s="1" customFormat="1" ht="18.75" hidden="1" x14ac:dyDescent="0.3">
      <c r="A19" s="62" t="s">
        <v>56</v>
      </c>
      <c r="B19" s="62"/>
      <c r="C19" s="62"/>
      <c r="D19" s="63"/>
      <c r="E19" s="64">
        <v>22663</v>
      </c>
      <c r="I19" s="13"/>
      <c r="J19" s="13"/>
      <c r="Q19" s="13"/>
      <c r="R19" s="16"/>
    </row>
    <row r="23" spans="1:18" x14ac:dyDescent="0.2">
      <c r="D23" s="85"/>
      <c r="E23" s="86"/>
    </row>
    <row r="24" spans="1:18" x14ac:dyDescent="0.2">
      <c r="F24" s="84"/>
    </row>
  </sheetData>
  <mergeCells count="30">
    <mergeCell ref="B16:C16"/>
    <mergeCell ref="B17:C17"/>
    <mergeCell ref="Q5:Q6"/>
    <mergeCell ref="R5:R6"/>
    <mergeCell ref="B12:C12"/>
    <mergeCell ref="B13:C13"/>
    <mergeCell ref="B14:C14"/>
    <mergeCell ref="B15:C15"/>
    <mergeCell ref="B8:C8"/>
    <mergeCell ref="B9:C9"/>
    <mergeCell ref="O5:O6"/>
    <mergeCell ref="B7:C7"/>
    <mergeCell ref="I5:I6"/>
    <mergeCell ref="J5:J6"/>
    <mergeCell ref="K5:K6"/>
    <mergeCell ref="B10:C10"/>
    <mergeCell ref="B11:C11"/>
    <mergeCell ref="M5:M6"/>
    <mergeCell ref="N5:N6"/>
    <mergeCell ref="D5:D6"/>
    <mergeCell ref="D1:J1"/>
    <mergeCell ref="D2:J2"/>
    <mergeCell ref="A3:K3"/>
    <mergeCell ref="A5:A6"/>
    <mergeCell ref="B5:C6"/>
    <mergeCell ref="L5:L6"/>
    <mergeCell ref="E5:E6"/>
    <mergeCell ref="F5:F6"/>
    <mergeCell ref="G5:G6"/>
    <mergeCell ref="H5:H6"/>
  </mergeCells>
  <phoneticPr fontId="2" type="noConversion"/>
  <pageMargins left="0.39370078740157483" right="0.39370078740157483" top="0.98425196850393704" bottom="0.39370078740157483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zoomScale="85" zoomScaleNormal="85" workbookViewId="0">
      <selection activeCell="A19" sqref="A19:XFD19"/>
    </sheetView>
  </sheetViews>
  <sheetFormatPr defaultRowHeight="12.75" x14ac:dyDescent="0.2"/>
  <cols>
    <col min="1" max="1" width="5" customWidth="1"/>
    <col min="3" max="3" width="13.140625" customWidth="1"/>
    <col min="4" max="4" width="12.7109375" customWidth="1"/>
    <col min="5" max="5" width="13.85546875" style="8" customWidth="1"/>
    <col min="7" max="7" width="12" customWidth="1"/>
    <col min="9" max="9" width="12" style="14" customWidth="1"/>
    <col min="10" max="10" width="11.28515625" style="14" customWidth="1"/>
    <col min="11" max="11" width="12.7109375" customWidth="1"/>
    <col min="12" max="16" width="0" hidden="1" customWidth="1"/>
    <col min="17" max="17" width="11.85546875" style="14" customWidth="1"/>
    <col min="18" max="18" width="15" style="18" customWidth="1"/>
  </cols>
  <sheetData>
    <row r="1" spans="1:18" s="1" customFormat="1" x14ac:dyDescent="0.2">
      <c r="D1" s="116"/>
      <c r="E1" s="116"/>
      <c r="F1" s="116"/>
      <c r="G1" s="116"/>
      <c r="H1" s="116"/>
      <c r="I1" s="116"/>
      <c r="J1" s="116"/>
      <c r="Q1" s="13"/>
      <c r="R1" s="16"/>
    </row>
    <row r="2" spans="1:18" s="1" customFormat="1" x14ac:dyDescent="0.2">
      <c r="D2" s="116"/>
      <c r="E2" s="116"/>
      <c r="F2" s="116"/>
      <c r="G2" s="116"/>
      <c r="H2" s="116"/>
      <c r="I2" s="116"/>
      <c r="J2" s="116"/>
      <c r="Q2" s="13"/>
      <c r="R2" s="16"/>
    </row>
    <row r="3" spans="1:18" s="1" customFormat="1" ht="39.75" customHeight="1" x14ac:dyDescent="0.2">
      <c r="A3" s="117" t="s">
        <v>55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Q3" s="13"/>
      <c r="R3" s="16"/>
    </row>
    <row r="4" spans="1:18" s="1" customFormat="1" ht="18.75" x14ac:dyDescent="0.3">
      <c r="A4" s="2"/>
      <c r="B4" s="2"/>
      <c r="C4" s="2"/>
      <c r="D4" s="9"/>
      <c r="E4" s="3"/>
      <c r="I4" s="13"/>
      <c r="J4" s="13"/>
      <c r="K4" s="45" t="s">
        <v>0</v>
      </c>
      <c r="Q4" s="3"/>
      <c r="R4" s="16"/>
    </row>
    <row r="5" spans="1:18" s="1" customFormat="1" ht="12.75" customHeight="1" x14ac:dyDescent="0.2">
      <c r="A5" s="118" t="s">
        <v>2</v>
      </c>
      <c r="B5" s="119" t="s">
        <v>1</v>
      </c>
      <c r="C5" s="119"/>
      <c r="D5" s="114" t="s">
        <v>49</v>
      </c>
      <c r="E5" s="120" t="s">
        <v>63</v>
      </c>
      <c r="F5" s="121" t="s">
        <v>3</v>
      </c>
      <c r="G5" s="123" t="s">
        <v>50</v>
      </c>
      <c r="H5" s="123" t="s">
        <v>51</v>
      </c>
      <c r="I5" s="123" t="s">
        <v>52</v>
      </c>
      <c r="J5" s="123" t="s">
        <v>64</v>
      </c>
      <c r="K5" s="123" t="s">
        <v>53</v>
      </c>
      <c r="L5" s="112"/>
      <c r="M5" s="112"/>
      <c r="N5" s="112"/>
      <c r="O5" s="112"/>
      <c r="P5" s="23"/>
      <c r="Q5" s="124" t="s">
        <v>19</v>
      </c>
      <c r="R5" s="126" t="s">
        <v>54</v>
      </c>
    </row>
    <row r="6" spans="1:18" s="1" customFormat="1" ht="143.25" customHeight="1" x14ac:dyDescent="0.2">
      <c r="A6" s="118"/>
      <c r="B6" s="119"/>
      <c r="C6" s="119"/>
      <c r="D6" s="115"/>
      <c r="E6" s="120"/>
      <c r="F6" s="122"/>
      <c r="G6" s="122"/>
      <c r="H6" s="122"/>
      <c r="I6" s="122"/>
      <c r="J6" s="122"/>
      <c r="K6" s="122"/>
      <c r="L6" s="113"/>
      <c r="M6" s="113"/>
      <c r="N6" s="113"/>
      <c r="O6" s="113"/>
      <c r="P6" s="23"/>
      <c r="Q6" s="125"/>
      <c r="R6" s="127"/>
    </row>
    <row r="7" spans="1:18" s="32" customFormat="1" ht="33" customHeight="1" x14ac:dyDescent="0.2">
      <c r="A7" s="65">
        <v>1</v>
      </c>
      <c r="B7" s="130">
        <v>2</v>
      </c>
      <c r="C7" s="130"/>
      <c r="D7" s="37" t="s">
        <v>28</v>
      </c>
      <c r="E7" s="31">
        <v>4</v>
      </c>
      <c r="F7" s="33">
        <v>5</v>
      </c>
      <c r="G7" s="59" t="s">
        <v>29</v>
      </c>
      <c r="H7" s="34">
        <v>7</v>
      </c>
      <c r="I7" s="35">
        <v>8</v>
      </c>
      <c r="J7" s="66" t="s">
        <v>41</v>
      </c>
      <c r="K7" s="59" t="s">
        <v>30</v>
      </c>
      <c r="L7" s="34">
        <v>12</v>
      </c>
      <c r="M7" s="34">
        <v>13</v>
      </c>
      <c r="N7" s="34"/>
      <c r="O7" s="34"/>
      <c r="P7" s="36"/>
      <c r="Q7" s="35">
        <v>11</v>
      </c>
      <c r="R7" s="60" t="s">
        <v>31</v>
      </c>
    </row>
    <row r="8" spans="1:18" s="13" customFormat="1" ht="25.5" hidden="1" customHeight="1" x14ac:dyDescent="0.2">
      <c r="A8" s="47">
        <v>1</v>
      </c>
      <c r="B8" s="128" t="s">
        <v>18</v>
      </c>
      <c r="C8" s="129"/>
      <c r="D8" s="75">
        <f>SUM(D10:D17)</f>
        <v>1361.94</v>
      </c>
      <c r="E8" s="75">
        <f>SUM(E10:E17)</f>
        <v>24204</v>
      </c>
      <c r="F8" s="50">
        <v>0.06</v>
      </c>
      <c r="G8" s="79">
        <f>E8*F8</f>
        <v>1452.24</v>
      </c>
      <c r="H8" s="50">
        <v>1</v>
      </c>
      <c r="I8" s="75">
        <f>SUM(I10:I17)</f>
        <v>8.6</v>
      </c>
      <c r="J8" s="75">
        <f>SUM(J10:J17)</f>
        <v>1.72</v>
      </c>
      <c r="K8" s="75">
        <f>SUM(K10:K17)</f>
        <v>1453.96</v>
      </c>
      <c r="L8" s="51"/>
      <c r="M8" s="51"/>
      <c r="N8" s="51"/>
      <c r="O8" s="51"/>
      <c r="P8" s="52"/>
      <c r="Q8" s="50">
        <v>1</v>
      </c>
      <c r="R8" s="83">
        <v>1453.9</v>
      </c>
    </row>
    <row r="9" spans="1:18" s="1" customFormat="1" ht="15" hidden="1" customHeight="1" x14ac:dyDescent="0.25">
      <c r="A9" s="4">
        <v>2</v>
      </c>
      <c r="B9" s="110" t="s">
        <v>8</v>
      </c>
      <c r="C9" s="111"/>
      <c r="D9" s="24"/>
      <c r="E9" s="29"/>
      <c r="F9" s="20"/>
      <c r="G9" s="80">
        <f t="shared" ref="G9:G17" si="0">E9*F9</f>
        <v>0</v>
      </c>
      <c r="H9" s="20"/>
      <c r="I9" s="82"/>
      <c r="J9" s="82"/>
      <c r="K9" s="76">
        <f t="shared" ref="K9:K17" si="1">G9*H9+J9</f>
        <v>0</v>
      </c>
      <c r="L9" s="19"/>
      <c r="M9" s="19"/>
      <c r="N9" s="19"/>
      <c r="O9" s="19"/>
      <c r="P9" s="21"/>
      <c r="Q9" s="22" t="s">
        <v>38</v>
      </c>
      <c r="R9" s="72">
        <f>((K10*50%)+(K11+K12+K13+K14+K15+K16+K17)*70%)</f>
        <v>838.48</v>
      </c>
    </row>
    <row r="10" spans="1:18" s="1" customFormat="1" ht="17.25" hidden="1" customHeight="1" x14ac:dyDescent="0.25">
      <c r="A10" s="4">
        <v>3</v>
      </c>
      <c r="B10" s="110" t="s">
        <v>9</v>
      </c>
      <c r="C10" s="111"/>
      <c r="D10" s="76">
        <f>'прогноз 2020'!K10</f>
        <v>825.56</v>
      </c>
      <c r="E10" s="77">
        <v>14916</v>
      </c>
      <c r="F10" s="20">
        <v>0.06</v>
      </c>
      <c r="G10" s="80">
        <f t="shared" si="0"/>
        <v>894.95999999999992</v>
      </c>
      <c r="H10" s="20">
        <v>1</v>
      </c>
      <c r="I10" s="82">
        <v>7.5</v>
      </c>
      <c r="J10" s="82">
        <f>I10*20%</f>
        <v>1.5</v>
      </c>
      <c r="K10" s="76">
        <f t="shared" si="1"/>
        <v>896.45999999999992</v>
      </c>
      <c r="L10" s="19"/>
      <c r="M10" s="19"/>
      <c r="N10" s="19"/>
      <c r="O10" s="19"/>
      <c r="P10" s="21"/>
      <c r="Q10" s="22">
        <v>0.5</v>
      </c>
      <c r="R10" s="72">
        <f t="shared" ref="R10:R17" si="2">SUM(K10*Q10)</f>
        <v>448.22999999999996</v>
      </c>
    </row>
    <row r="11" spans="1:18" s="1" customFormat="1" ht="18" hidden="1" customHeight="1" x14ac:dyDescent="0.25">
      <c r="A11" s="4">
        <v>4</v>
      </c>
      <c r="B11" s="110" t="s">
        <v>10</v>
      </c>
      <c r="C11" s="111"/>
      <c r="D11" s="76">
        <f>'прогноз 2020'!K11</f>
        <v>11.879999999999999</v>
      </c>
      <c r="E11" s="77">
        <v>206</v>
      </c>
      <c r="F11" s="20">
        <v>0.06</v>
      </c>
      <c r="G11" s="80">
        <f t="shared" si="0"/>
        <v>12.36</v>
      </c>
      <c r="H11" s="20">
        <v>1</v>
      </c>
      <c r="I11" s="82"/>
      <c r="J11" s="82"/>
      <c r="K11" s="76">
        <f t="shared" si="1"/>
        <v>12.36</v>
      </c>
      <c r="L11" s="19"/>
      <c r="M11" s="19"/>
      <c r="N11" s="19"/>
      <c r="O11" s="19"/>
      <c r="P11" s="21"/>
      <c r="Q11" s="22">
        <v>0.3</v>
      </c>
      <c r="R11" s="72">
        <f t="shared" si="2"/>
        <v>3.7079999999999997</v>
      </c>
    </row>
    <row r="12" spans="1:18" s="1" customFormat="1" ht="21" hidden="1" customHeight="1" x14ac:dyDescent="0.25">
      <c r="A12" s="4">
        <v>5</v>
      </c>
      <c r="B12" s="110" t="s">
        <v>11</v>
      </c>
      <c r="C12" s="111"/>
      <c r="D12" s="76">
        <f>'прогноз 2020'!K12</f>
        <v>10.5</v>
      </c>
      <c r="E12" s="77">
        <v>182</v>
      </c>
      <c r="F12" s="20">
        <v>0.06</v>
      </c>
      <c r="G12" s="80">
        <f t="shared" si="0"/>
        <v>10.92</v>
      </c>
      <c r="H12" s="20">
        <v>1</v>
      </c>
      <c r="I12" s="82"/>
      <c r="J12" s="82"/>
      <c r="K12" s="76">
        <f t="shared" si="1"/>
        <v>10.92</v>
      </c>
      <c r="L12" s="19"/>
      <c r="M12" s="19"/>
      <c r="N12" s="19"/>
      <c r="O12" s="19"/>
      <c r="P12" s="21"/>
      <c r="Q12" s="22">
        <v>0.3</v>
      </c>
      <c r="R12" s="72">
        <f t="shared" si="2"/>
        <v>3.2759999999999998</v>
      </c>
    </row>
    <row r="13" spans="1:18" s="1" customFormat="1" ht="17.25" hidden="1" customHeight="1" x14ac:dyDescent="0.25">
      <c r="A13" s="4">
        <v>6</v>
      </c>
      <c r="B13" s="110" t="s">
        <v>12</v>
      </c>
      <c r="C13" s="111"/>
      <c r="D13" s="76">
        <f>'прогноз 2020'!K13</f>
        <v>57.54</v>
      </c>
      <c r="E13" s="77">
        <v>997</v>
      </c>
      <c r="F13" s="20">
        <v>0.06</v>
      </c>
      <c r="G13" s="80">
        <f t="shared" si="0"/>
        <v>59.82</v>
      </c>
      <c r="H13" s="20">
        <v>1</v>
      </c>
      <c r="I13" s="82"/>
      <c r="J13" s="82"/>
      <c r="K13" s="76">
        <f t="shared" si="1"/>
        <v>59.82</v>
      </c>
      <c r="L13" s="19"/>
      <c r="M13" s="19"/>
      <c r="N13" s="19"/>
      <c r="O13" s="19"/>
      <c r="P13" s="21"/>
      <c r="Q13" s="22">
        <v>0.3</v>
      </c>
      <c r="R13" s="72">
        <f t="shared" si="2"/>
        <v>17.945999999999998</v>
      </c>
    </row>
    <row r="14" spans="1:18" s="1" customFormat="1" ht="15.75" hidden="1" customHeight="1" x14ac:dyDescent="0.25">
      <c r="A14" s="4">
        <v>7</v>
      </c>
      <c r="B14" s="110" t="s">
        <v>13</v>
      </c>
      <c r="C14" s="111"/>
      <c r="D14" s="76">
        <f>'прогноз 2020'!K14</f>
        <v>350.34</v>
      </c>
      <c r="E14" s="77">
        <v>6073</v>
      </c>
      <c r="F14" s="20">
        <v>0.06</v>
      </c>
      <c r="G14" s="80">
        <f t="shared" si="0"/>
        <v>364.38</v>
      </c>
      <c r="H14" s="20">
        <v>1</v>
      </c>
      <c r="I14" s="82"/>
      <c r="J14" s="82"/>
      <c r="K14" s="76">
        <f t="shared" si="1"/>
        <v>364.38</v>
      </c>
      <c r="L14" s="19"/>
      <c r="M14" s="19"/>
      <c r="N14" s="19"/>
      <c r="O14" s="19"/>
      <c r="P14" s="21"/>
      <c r="Q14" s="22">
        <v>0.3</v>
      </c>
      <c r="R14" s="72">
        <f t="shared" si="2"/>
        <v>109.31399999999999</v>
      </c>
    </row>
    <row r="15" spans="1:18" s="1" customFormat="1" ht="15.75" hidden="1" customHeight="1" x14ac:dyDescent="0.25">
      <c r="A15" s="4">
        <v>8</v>
      </c>
      <c r="B15" s="110" t="s">
        <v>14</v>
      </c>
      <c r="C15" s="111"/>
      <c r="D15" s="76">
        <f>'прогноз 2020'!K15</f>
        <v>59.92</v>
      </c>
      <c r="E15" s="78">
        <v>1035</v>
      </c>
      <c r="F15" s="22">
        <v>0.06</v>
      </c>
      <c r="G15" s="81">
        <f t="shared" si="0"/>
        <v>62.099999999999994</v>
      </c>
      <c r="H15" s="20">
        <v>1</v>
      </c>
      <c r="I15" s="82">
        <v>1.1000000000000001</v>
      </c>
      <c r="J15" s="82">
        <f t="shared" ref="J15" si="3">I15*20%</f>
        <v>0.22000000000000003</v>
      </c>
      <c r="K15" s="82">
        <f t="shared" si="1"/>
        <v>62.319999999999993</v>
      </c>
      <c r="L15" s="54"/>
      <c r="M15" s="54"/>
      <c r="N15" s="54"/>
      <c r="O15" s="54"/>
      <c r="P15" s="54"/>
      <c r="Q15" s="22">
        <v>0.3</v>
      </c>
      <c r="R15" s="72">
        <f t="shared" si="2"/>
        <v>18.695999999999998</v>
      </c>
    </row>
    <row r="16" spans="1:18" s="1" customFormat="1" ht="18.75" hidden="1" customHeight="1" x14ac:dyDescent="0.25">
      <c r="A16" s="4">
        <v>9</v>
      </c>
      <c r="B16" s="110" t="s">
        <v>15</v>
      </c>
      <c r="C16" s="111"/>
      <c r="D16" s="76">
        <f>'прогноз 2020'!K16</f>
        <v>9</v>
      </c>
      <c r="E16" s="78">
        <v>150</v>
      </c>
      <c r="F16" s="22">
        <v>0.06</v>
      </c>
      <c r="G16" s="81">
        <f t="shared" si="0"/>
        <v>9</v>
      </c>
      <c r="H16" s="20">
        <v>1</v>
      </c>
      <c r="I16" s="82"/>
      <c r="J16" s="82"/>
      <c r="K16" s="82">
        <f t="shared" si="1"/>
        <v>9</v>
      </c>
      <c r="L16" s="54"/>
      <c r="M16" s="54"/>
      <c r="N16" s="54"/>
      <c r="O16" s="54"/>
      <c r="P16" s="54"/>
      <c r="Q16" s="22">
        <v>0.3</v>
      </c>
      <c r="R16" s="72">
        <f t="shared" si="2"/>
        <v>2.6999999999999997</v>
      </c>
    </row>
    <row r="17" spans="1:18" s="1" customFormat="1" ht="18.75" x14ac:dyDescent="0.3">
      <c r="A17" s="10">
        <v>10</v>
      </c>
      <c r="B17" s="110" t="s">
        <v>16</v>
      </c>
      <c r="C17" s="111"/>
      <c r="D17" s="76">
        <f>'прогноз 2020'!K17</f>
        <v>37.199999999999996</v>
      </c>
      <c r="E17" s="77">
        <v>645</v>
      </c>
      <c r="F17" s="20">
        <v>0.06</v>
      </c>
      <c r="G17" s="80">
        <f t="shared" si="0"/>
        <v>38.699999999999996</v>
      </c>
      <c r="H17" s="20">
        <v>1</v>
      </c>
      <c r="I17" s="82"/>
      <c r="J17" s="82"/>
      <c r="K17" s="82">
        <f t="shared" si="1"/>
        <v>38.699999999999996</v>
      </c>
      <c r="L17" s="21"/>
      <c r="M17" s="21"/>
      <c r="N17" s="21"/>
      <c r="O17" s="21"/>
      <c r="P17" s="21"/>
      <c r="Q17" s="22">
        <v>0.3</v>
      </c>
      <c r="R17" s="72">
        <f t="shared" si="2"/>
        <v>11.609999999999998</v>
      </c>
    </row>
    <row r="18" spans="1:18" s="1" customFormat="1" ht="46.5" customHeight="1" x14ac:dyDescent="0.3">
      <c r="A18" s="2"/>
      <c r="C18" s="2"/>
      <c r="D18" s="55"/>
      <c r="E18" s="56"/>
      <c r="F18" s="57"/>
      <c r="G18" s="11"/>
      <c r="H18" s="11"/>
      <c r="I18" s="15"/>
      <c r="J18" s="15"/>
      <c r="K18" s="11"/>
      <c r="L18" s="11"/>
      <c r="M18" s="11"/>
      <c r="N18" s="11"/>
      <c r="O18" s="11"/>
      <c r="P18" s="11"/>
      <c r="Q18" s="15"/>
      <c r="R18" s="17"/>
    </row>
    <row r="19" spans="1:18" s="1" customFormat="1" ht="18.75" hidden="1" x14ac:dyDescent="0.3">
      <c r="A19" s="62" t="s">
        <v>56</v>
      </c>
      <c r="B19" s="62"/>
      <c r="C19" s="62"/>
      <c r="D19" s="63"/>
      <c r="E19" s="64">
        <v>24204</v>
      </c>
      <c r="I19" s="13"/>
      <c r="J19" s="13"/>
      <c r="Q19" s="13"/>
      <c r="R19" s="16"/>
    </row>
  </sheetData>
  <mergeCells count="30">
    <mergeCell ref="D1:J1"/>
    <mergeCell ref="D2:J2"/>
    <mergeCell ref="A3:K3"/>
    <mergeCell ref="A5:A6"/>
    <mergeCell ref="B5:C6"/>
    <mergeCell ref="D5:D6"/>
    <mergeCell ref="E5:E6"/>
    <mergeCell ref="F5:F6"/>
    <mergeCell ref="G5:G6"/>
    <mergeCell ref="H5:H6"/>
    <mergeCell ref="B9:C9"/>
    <mergeCell ref="I5:I6"/>
    <mergeCell ref="J5:J6"/>
    <mergeCell ref="K5:K6"/>
    <mergeCell ref="L5:L6"/>
    <mergeCell ref="O5:O6"/>
    <mergeCell ref="Q5:Q6"/>
    <mergeCell ref="R5:R6"/>
    <mergeCell ref="B7:C7"/>
    <mergeCell ref="B8:C8"/>
    <mergeCell ref="M5:M6"/>
    <mergeCell ref="N5:N6"/>
    <mergeCell ref="B16:C16"/>
    <mergeCell ref="B17:C17"/>
    <mergeCell ref="B10:C10"/>
    <mergeCell ref="B11:C11"/>
    <mergeCell ref="B12:C12"/>
    <mergeCell ref="B13:C13"/>
    <mergeCell ref="B14:C14"/>
    <mergeCell ref="B15:C15"/>
  </mergeCells>
  <pageMargins left="0.39370078740157483" right="0.39370078740157483" top="0.98425196850393704" bottom="0.39370078740157483" header="0.51181102362204722" footer="0.51181102362204722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zoomScale="85" zoomScaleNormal="85" workbookViewId="0">
      <selection activeCell="A19" sqref="A19:XFD19"/>
    </sheetView>
  </sheetViews>
  <sheetFormatPr defaultRowHeight="12.75" x14ac:dyDescent="0.2"/>
  <cols>
    <col min="1" max="1" width="5" customWidth="1"/>
    <col min="3" max="3" width="13.140625" customWidth="1"/>
    <col min="4" max="4" width="12.7109375" customWidth="1"/>
    <col min="5" max="5" width="13.85546875" style="8" customWidth="1"/>
    <col min="7" max="7" width="12" customWidth="1"/>
    <col min="9" max="9" width="12" style="14" customWidth="1"/>
    <col min="10" max="10" width="11.28515625" style="14" customWidth="1"/>
    <col min="11" max="11" width="12.7109375" customWidth="1"/>
    <col min="12" max="16" width="0" hidden="1" customWidth="1"/>
    <col min="17" max="17" width="11.85546875" style="14" customWidth="1"/>
    <col min="18" max="18" width="15" style="18" customWidth="1"/>
  </cols>
  <sheetData>
    <row r="1" spans="1:18" s="1" customFormat="1" x14ac:dyDescent="0.2">
      <c r="D1" s="116"/>
      <c r="E1" s="116"/>
      <c r="F1" s="116"/>
      <c r="G1" s="116"/>
      <c r="H1" s="116"/>
      <c r="I1" s="116"/>
      <c r="J1" s="116"/>
      <c r="Q1" s="13"/>
      <c r="R1" s="16"/>
    </row>
    <row r="2" spans="1:18" s="1" customFormat="1" x14ac:dyDescent="0.2">
      <c r="D2" s="116"/>
      <c r="E2" s="116"/>
      <c r="F2" s="116"/>
      <c r="G2" s="116"/>
      <c r="H2" s="116"/>
      <c r="I2" s="116"/>
      <c r="J2" s="116"/>
      <c r="Q2" s="13"/>
      <c r="R2" s="16"/>
    </row>
    <row r="3" spans="1:18" s="1" customFormat="1" ht="39.75" customHeight="1" x14ac:dyDescent="0.2">
      <c r="A3" s="117" t="s">
        <v>66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Q3" s="13"/>
      <c r="R3" s="16"/>
    </row>
    <row r="4" spans="1:18" s="1" customFormat="1" ht="18.75" x14ac:dyDescent="0.3">
      <c r="A4" s="2"/>
      <c r="B4" s="2"/>
      <c r="C4" s="2"/>
      <c r="D4" s="9"/>
      <c r="E4" s="3"/>
      <c r="I4" s="13"/>
      <c r="J4" s="13"/>
      <c r="K4" s="45" t="s">
        <v>0</v>
      </c>
      <c r="Q4" s="3"/>
      <c r="R4" s="16"/>
    </row>
    <row r="5" spans="1:18" s="1" customFormat="1" ht="12.75" customHeight="1" x14ac:dyDescent="0.2">
      <c r="A5" s="118" t="s">
        <v>2</v>
      </c>
      <c r="B5" s="119" t="s">
        <v>1</v>
      </c>
      <c r="C5" s="119"/>
      <c r="D5" s="114" t="s">
        <v>65</v>
      </c>
      <c r="E5" s="120" t="s">
        <v>67</v>
      </c>
      <c r="F5" s="121" t="s">
        <v>3</v>
      </c>
      <c r="G5" s="123" t="s">
        <v>68</v>
      </c>
      <c r="H5" s="123" t="s">
        <v>69</v>
      </c>
      <c r="I5" s="123" t="s">
        <v>70</v>
      </c>
      <c r="J5" s="123" t="s">
        <v>71</v>
      </c>
      <c r="K5" s="123" t="s">
        <v>72</v>
      </c>
      <c r="L5" s="112"/>
      <c r="M5" s="112"/>
      <c r="N5" s="112"/>
      <c r="O5" s="112"/>
      <c r="P5" s="23"/>
      <c r="Q5" s="124" t="s">
        <v>19</v>
      </c>
      <c r="R5" s="126" t="s">
        <v>73</v>
      </c>
    </row>
    <row r="6" spans="1:18" s="1" customFormat="1" ht="143.25" customHeight="1" x14ac:dyDescent="0.2">
      <c r="A6" s="118"/>
      <c r="B6" s="119"/>
      <c r="C6" s="119"/>
      <c r="D6" s="115"/>
      <c r="E6" s="120"/>
      <c r="F6" s="122"/>
      <c r="G6" s="122"/>
      <c r="H6" s="122"/>
      <c r="I6" s="122"/>
      <c r="J6" s="122"/>
      <c r="K6" s="122"/>
      <c r="L6" s="113"/>
      <c r="M6" s="113"/>
      <c r="N6" s="113"/>
      <c r="O6" s="113"/>
      <c r="P6" s="23"/>
      <c r="Q6" s="125"/>
      <c r="R6" s="127"/>
    </row>
    <row r="7" spans="1:18" s="32" customFormat="1" ht="33" customHeight="1" x14ac:dyDescent="0.2">
      <c r="A7" s="65">
        <v>1</v>
      </c>
      <c r="B7" s="130">
        <v>2</v>
      </c>
      <c r="C7" s="130"/>
      <c r="D7" s="37" t="s">
        <v>28</v>
      </c>
      <c r="E7" s="31">
        <v>4</v>
      </c>
      <c r="F7" s="33">
        <v>5</v>
      </c>
      <c r="G7" s="59" t="s">
        <v>29</v>
      </c>
      <c r="H7" s="34">
        <v>7</v>
      </c>
      <c r="I7" s="35">
        <v>8</v>
      </c>
      <c r="J7" s="66" t="s">
        <v>41</v>
      </c>
      <c r="K7" s="59" t="s">
        <v>30</v>
      </c>
      <c r="L7" s="34">
        <v>12</v>
      </c>
      <c r="M7" s="34">
        <v>13</v>
      </c>
      <c r="N7" s="34"/>
      <c r="O7" s="34"/>
      <c r="P7" s="36"/>
      <c r="Q7" s="35">
        <v>11</v>
      </c>
      <c r="R7" s="60" t="s">
        <v>31</v>
      </c>
    </row>
    <row r="8" spans="1:18" s="13" customFormat="1" ht="25.5" hidden="1" customHeight="1" x14ac:dyDescent="0.2">
      <c r="A8" s="47">
        <v>1</v>
      </c>
      <c r="B8" s="128" t="s">
        <v>18</v>
      </c>
      <c r="C8" s="129"/>
      <c r="D8" s="75">
        <v>1602.8</v>
      </c>
      <c r="E8" s="75">
        <f>SUM(E10:E17)</f>
        <v>25898</v>
      </c>
      <c r="F8" s="50">
        <v>0.06</v>
      </c>
      <c r="G8" s="75">
        <f>E8*F8</f>
        <v>1553.8799999999999</v>
      </c>
      <c r="H8" s="50">
        <v>1</v>
      </c>
      <c r="I8" s="79">
        <f>SUM(I10:I17)</f>
        <v>6.88</v>
      </c>
      <c r="J8" s="79">
        <f>SUM(J10:J17)</f>
        <v>1.3760000000000003</v>
      </c>
      <c r="K8" s="79">
        <f>SUM(K10:K17)</f>
        <v>1555.2560000000001</v>
      </c>
      <c r="L8" s="51"/>
      <c r="M8" s="51"/>
      <c r="N8" s="51"/>
      <c r="O8" s="51"/>
      <c r="P8" s="52"/>
      <c r="Q8" s="50">
        <v>1</v>
      </c>
      <c r="R8" s="83">
        <v>1555.4</v>
      </c>
    </row>
    <row r="9" spans="1:18" s="1" customFormat="1" ht="15" hidden="1" customHeight="1" x14ac:dyDescent="0.25">
      <c r="A9" s="4">
        <v>2</v>
      </c>
      <c r="B9" s="110" t="s">
        <v>8</v>
      </c>
      <c r="C9" s="111"/>
      <c r="D9" s="76"/>
      <c r="E9" s="77"/>
      <c r="F9" s="20"/>
      <c r="G9" s="76"/>
      <c r="H9" s="20"/>
      <c r="I9" s="81"/>
      <c r="J9" s="81"/>
      <c r="K9" s="80">
        <f t="shared" ref="K9:K17" si="0">G9*H9+J9</f>
        <v>0</v>
      </c>
      <c r="L9" s="19"/>
      <c r="M9" s="19"/>
      <c r="N9" s="19"/>
      <c r="O9" s="19"/>
      <c r="P9" s="21"/>
      <c r="Q9" s="22" t="s">
        <v>38</v>
      </c>
      <c r="R9" s="72">
        <f>((K10*50%)+(K11+K12+K13+K14+K15+K16+K17)*70%)</f>
        <v>893.46320000000003</v>
      </c>
    </row>
    <row r="10" spans="1:18" s="1" customFormat="1" ht="17.25" hidden="1" customHeight="1" x14ac:dyDescent="0.25">
      <c r="A10" s="4">
        <v>3</v>
      </c>
      <c r="B10" s="110" t="s">
        <v>9</v>
      </c>
      <c r="C10" s="111"/>
      <c r="D10" s="76">
        <f>'прогноз 2021'!K10</f>
        <v>896.45999999999992</v>
      </c>
      <c r="E10" s="77">
        <v>16248</v>
      </c>
      <c r="F10" s="20">
        <v>0.06</v>
      </c>
      <c r="G10" s="76">
        <f t="shared" ref="G10:G17" si="1">E10*F10</f>
        <v>974.88</v>
      </c>
      <c r="H10" s="20">
        <v>1</v>
      </c>
      <c r="I10" s="81">
        <f>'прогноз 2021'!I10-'прогноз 2021'!J10</f>
        <v>6</v>
      </c>
      <c r="J10" s="81">
        <f>I10*20%</f>
        <v>1.2000000000000002</v>
      </c>
      <c r="K10" s="80">
        <f t="shared" si="0"/>
        <v>976.08</v>
      </c>
      <c r="L10" s="19"/>
      <c r="M10" s="19"/>
      <c r="N10" s="19"/>
      <c r="O10" s="19"/>
      <c r="P10" s="21"/>
      <c r="Q10" s="22">
        <v>0.5</v>
      </c>
      <c r="R10" s="72">
        <f t="shared" ref="R10:R17" si="2">SUM(K10*Q10)</f>
        <v>488.04</v>
      </c>
    </row>
    <row r="11" spans="1:18" s="1" customFormat="1" ht="18" hidden="1" customHeight="1" x14ac:dyDescent="0.25">
      <c r="A11" s="4">
        <v>4</v>
      </c>
      <c r="B11" s="110" t="s">
        <v>10</v>
      </c>
      <c r="C11" s="111"/>
      <c r="D11" s="76">
        <f>'прогноз 2021'!K11</f>
        <v>12.36</v>
      </c>
      <c r="E11" s="77">
        <v>214</v>
      </c>
      <c r="F11" s="20">
        <v>0.06</v>
      </c>
      <c r="G11" s="76">
        <f t="shared" si="1"/>
        <v>12.84</v>
      </c>
      <c r="H11" s="20">
        <v>1</v>
      </c>
      <c r="I11" s="81"/>
      <c r="J11" s="81"/>
      <c r="K11" s="80">
        <f t="shared" si="0"/>
        <v>12.84</v>
      </c>
      <c r="L11" s="19"/>
      <c r="M11" s="19"/>
      <c r="N11" s="19"/>
      <c r="O11" s="19"/>
      <c r="P11" s="21"/>
      <c r="Q11" s="22">
        <v>0.3</v>
      </c>
      <c r="R11" s="72">
        <f t="shared" si="2"/>
        <v>3.8519999999999999</v>
      </c>
    </row>
    <row r="12" spans="1:18" s="1" customFormat="1" ht="21" hidden="1" customHeight="1" x14ac:dyDescent="0.25">
      <c r="A12" s="4">
        <v>5</v>
      </c>
      <c r="B12" s="110" t="s">
        <v>11</v>
      </c>
      <c r="C12" s="111"/>
      <c r="D12" s="76">
        <f>'прогноз 2021'!K12</f>
        <v>10.92</v>
      </c>
      <c r="E12" s="77">
        <v>189</v>
      </c>
      <c r="F12" s="20">
        <v>0.06</v>
      </c>
      <c r="G12" s="76">
        <f t="shared" si="1"/>
        <v>11.34</v>
      </c>
      <c r="H12" s="20">
        <v>1</v>
      </c>
      <c r="I12" s="81"/>
      <c r="J12" s="81"/>
      <c r="K12" s="80">
        <f t="shared" si="0"/>
        <v>11.34</v>
      </c>
      <c r="L12" s="19"/>
      <c r="M12" s="19"/>
      <c r="N12" s="19"/>
      <c r="O12" s="19"/>
      <c r="P12" s="21"/>
      <c r="Q12" s="22">
        <v>0.3</v>
      </c>
      <c r="R12" s="72">
        <f t="shared" si="2"/>
        <v>3.4019999999999997</v>
      </c>
    </row>
    <row r="13" spans="1:18" s="1" customFormat="1" ht="17.25" hidden="1" customHeight="1" x14ac:dyDescent="0.25">
      <c r="A13" s="4">
        <v>6</v>
      </c>
      <c r="B13" s="110" t="s">
        <v>12</v>
      </c>
      <c r="C13" s="111"/>
      <c r="D13" s="76">
        <f>'прогноз 2021'!K13</f>
        <v>59.82</v>
      </c>
      <c r="E13" s="77">
        <v>1037</v>
      </c>
      <c r="F13" s="20">
        <v>0.06</v>
      </c>
      <c r="G13" s="76">
        <f t="shared" si="1"/>
        <v>62.22</v>
      </c>
      <c r="H13" s="20">
        <v>1</v>
      </c>
      <c r="I13" s="81"/>
      <c r="J13" s="81"/>
      <c r="K13" s="80">
        <f t="shared" si="0"/>
        <v>62.22</v>
      </c>
      <c r="L13" s="19"/>
      <c r="M13" s="19"/>
      <c r="N13" s="19"/>
      <c r="O13" s="19"/>
      <c r="P13" s="21"/>
      <c r="Q13" s="22">
        <v>0.3</v>
      </c>
      <c r="R13" s="72">
        <f t="shared" si="2"/>
        <v>18.666</v>
      </c>
    </row>
    <row r="14" spans="1:18" s="1" customFormat="1" ht="15.75" hidden="1" customHeight="1" x14ac:dyDescent="0.25">
      <c r="A14" s="4">
        <v>7</v>
      </c>
      <c r="B14" s="110" t="s">
        <v>13</v>
      </c>
      <c r="C14" s="111"/>
      <c r="D14" s="76">
        <f>'прогноз 2021'!K14</f>
        <v>364.38</v>
      </c>
      <c r="E14" s="77">
        <v>6316</v>
      </c>
      <c r="F14" s="20">
        <v>0.06</v>
      </c>
      <c r="G14" s="76">
        <f t="shared" si="1"/>
        <v>378.96</v>
      </c>
      <c r="H14" s="20">
        <v>1</v>
      </c>
      <c r="I14" s="81"/>
      <c r="J14" s="81"/>
      <c r="K14" s="80">
        <f t="shared" si="0"/>
        <v>378.96</v>
      </c>
      <c r="L14" s="19"/>
      <c r="M14" s="19"/>
      <c r="N14" s="19"/>
      <c r="O14" s="19"/>
      <c r="P14" s="21"/>
      <c r="Q14" s="22">
        <v>0.3</v>
      </c>
      <c r="R14" s="72">
        <f t="shared" si="2"/>
        <v>113.68799999999999</v>
      </c>
    </row>
    <row r="15" spans="1:18" s="1" customFormat="1" ht="15.75" hidden="1" customHeight="1" x14ac:dyDescent="0.25">
      <c r="A15" s="4">
        <v>8</v>
      </c>
      <c r="B15" s="110" t="s">
        <v>14</v>
      </c>
      <c r="C15" s="111"/>
      <c r="D15" s="76">
        <f>'прогноз 2021'!K15</f>
        <v>62.319999999999993</v>
      </c>
      <c r="E15" s="78">
        <v>1074</v>
      </c>
      <c r="F15" s="22">
        <v>0.06</v>
      </c>
      <c r="G15" s="82">
        <f t="shared" si="1"/>
        <v>64.44</v>
      </c>
      <c r="H15" s="20">
        <v>1</v>
      </c>
      <c r="I15" s="81">
        <f>'прогноз 2021'!I15-'прогноз 2021'!J15</f>
        <v>0.88000000000000012</v>
      </c>
      <c r="J15" s="81">
        <f t="shared" ref="J15" si="3">I15*20%</f>
        <v>0.17600000000000005</v>
      </c>
      <c r="K15" s="81">
        <f t="shared" si="0"/>
        <v>64.616</v>
      </c>
      <c r="L15" s="54"/>
      <c r="M15" s="54"/>
      <c r="N15" s="54"/>
      <c r="O15" s="54"/>
      <c r="P15" s="54"/>
      <c r="Q15" s="22">
        <v>0.3</v>
      </c>
      <c r="R15" s="72">
        <f t="shared" si="2"/>
        <v>19.384799999999998</v>
      </c>
    </row>
    <row r="16" spans="1:18" s="1" customFormat="1" ht="18.75" hidden="1" customHeight="1" x14ac:dyDescent="0.25">
      <c r="A16" s="4">
        <v>9</v>
      </c>
      <c r="B16" s="110" t="s">
        <v>15</v>
      </c>
      <c r="C16" s="111"/>
      <c r="D16" s="76">
        <f>'прогноз 2021'!K16</f>
        <v>9</v>
      </c>
      <c r="E16" s="78">
        <v>150</v>
      </c>
      <c r="F16" s="22">
        <v>0.06</v>
      </c>
      <c r="G16" s="82">
        <f t="shared" si="1"/>
        <v>9</v>
      </c>
      <c r="H16" s="20">
        <v>1</v>
      </c>
      <c r="I16" s="81"/>
      <c r="J16" s="81"/>
      <c r="K16" s="81">
        <f t="shared" si="0"/>
        <v>9</v>
      </c>
      <c r="L16" s="54"/>
      <c r="M16" s="54"/>
      <c r="N16" s="54"/>
      <c r="O16" s="54"/>
      <c r="P16" s="54"/>
      <c r="Q16" s="22">
        <v>0.3</v>
      </c>
      <c r="R16" s="72">
        <f t="shared" si="2"/>
        <v>2.6999999999999997</v>
      </c>
    </row>
    <row r="17" spans="1:18" s="1" customFormat="1" ht="18.75" x14ac:dyDescent="0.3">
      <c r="A17" s="10">
        <v>10</v>
      </c>
      <c r="B17" s="110" t="s">
        <v>16</v>
      </c>
      <c r="C17" s="111"/>
      <c r="D17" s="76">
        <f>'прогноз 2021'!K17</f>
        <v>38.699999999999996</v>
      </c>
      <c r="E17" s="77">
        <v>670</v>
      </c>
      <c r="F17" s="20">
        <v>0.06</v>
      </c>
      <c r="G17" s="76">
        <f t="shared" si="1"/>
        <v>40.199999999999996</v>
      </c>
      <c r="H17" s="20">
        <v>1</v>
      </c>
      <c r="I17" s="81"/>
      <c r="J17" s="81"/>
      <c r="K17" s="81">
        <f t="shared" si="0"/>
        <v>40.199999999999996</v>
      </c>
      <c r="L17" s="21"/>
      <c r="M17" s="21"/>
      <c r="N17" s="21"/>
      <c r="O17" s="21"/>
      <c r="P17" s="21"/>
      <c r="Q17" s="22">
        <v>0.3</v>
      </c>
      <c r="R17" s="72">
        <f t="shared" si="2"/>
        <v>12.059999999999999</v>
      </c>
    </row>
    <row r="18" spans="1:18" s="1" customFormat="1" ht="46.5" customHeight="1" x14ac:dyDescent="0.3">
      <c r="A18" s="2"/>
      <c r="C18" s="2"/>
      <c r="D18" s="55"/>
      <c r="E18" s="56"/>
      <c r="F18" s="57"/>
      <c r="G18" s="11"/>
      <c r="H18" s="11"/>
      <c r="I18" s="15"/>
      <c r="J18" s="15"/>
      <c r="K18" s="11"/>
      <c r="L18" s="11"/>
      <c r="M18" s="11"/>
      <c r="N18" s="11"/>
      <c r="O18" s="11"/>
      <c r="P18" s="11"/>
      <c r="Q18" s="15"/>
      <c r="R18" s="17"/>
    </row>
    <row r="19" spans="1:18" s="1" customFormat="1" ht="18.75" hidden="1" x14ac:dyDescent="0.3">
      <c r="A19" s="62" t="s">
        <v>56</v>
      </c>
      <c r="B19" s="62"/>
      <c r="C19" s="62"/>
      <c r="D19" s="63"/>
      <c r="E19" s="64">
        <v>25898</v>
      </c>
      <c r="I19" s="13"/>
      <c r="J19" s="13"/>
      <c r="Q19" s="13"/>
      <c r="R19" s="16"/>
    </row>
  </sheetData>
  <mergeCells count="30">
    <mergeCell ref="D1:J1"/>
    <mergeCell ref="D2:J2"/>
    <mergeCell ref="A3:K3"/>
    <mergeCell ref="A5:A6"/>
    <mergeCell ref="B5:C6"/>
    <mergeCell ref="D5:D6"/>
    <mergeCell ref="E5:E6"/>
    <mergeCell ref="F5:F6"/>
    <mergeCell ref="G5:G6"/>
    <mergeCell ref="H5:H6"/>
    <mergeCell ref="B9:C9"/>
    <mergeCell ref="I5:I6"/>
    <mergeCell ref="J5:J6"/>
    <mergeCell ref="K5:K6"/>
    <mergeCell ref="L5:L6"/>
    <mergeCell ref="O5:O6"/>
    <mergeCell ref="Q5:Q6"/>
    <mergeCell ref="R5:R6"/>
    <mergeCell ref="B7:C7"/>
    <mergeCell ref="B8:C8"/>
    <mergeCell ref="M5:M6"/>
    <mergeCell ref="N5:N6"/>
    <mergeCell ref="B16:C16"/>
    <mergeCell ref="B17:C17"/>
    <mergeCell ref="B10:C10"/>
    <mergeCell ref="B11:C11"/>
    <mergeCell ref="B12:C12"/>
    <mergeCell ref="B13:C13"/>
    <mergeCell ref="B14:C14"/>
    <mergeCell ref="B15:C15"/>
  </mergeCells>
  <pageMargins left="0.39370078740157483" right="0.39370078740157483" top="0.98425196850393704" bottom="0.39370078740157483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Оценка 2019</vt:lpstr>
      <vt:lpstr>прогноз 2020</vt:lpstr>
      <vt:lpstr>прогноз 2021</vt:lpstr>
      <vt:lpstr>прогноз 2022</vt:lpstr>
      <vt:lpstr>'Оценка 2019'!Область_печати</vt:lpstr>
      <vt:lpstr>'прогноз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</cp:lastModifiedBy>
  <cp:lastPrinted>2019-10-30T07:55:00Z</cp:lastPrinted>
  <dcterms:created xsi:type="dcterms:W3CDTF">2005-07-21T11:07:58Z</dcterms:created>
  <dcterms:modified xsi:type="dcterms:W3CDTF">2019-11-08T07:05:38Z</dcterms:modified>
</cp:coreProperties>
</file>