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60" windowWidth="15180" windowHeight="8280" tabRatio="601" activeTab="3"/>
  </bookViews>
  <sheets>
    <sheet name="ожид 2019 в фу" sheetId="40" r:id="rId1"/>
    <sheet name="прогноз 2020" sheetId="43" r:id="rId2"/>
    <sheet name="прогноз 2021" sheetId="42" r:id="rId3"/>
    <sheet name="прогноз 2022 " sheetId="41" r:id="rId4"/>
  </sheets>
  <definedNames>
    <definedName name="_xlnm.Print_Area" localSheetId="0">'ожид 2019 в фу'!$A$1:$O$36</definedName>
    <definedName name="_xlnm.Print_Area" localSheetId="1">'прогноз 2020'!$A$1:$K$27</definedName>
    <definedName name="_xlnm.Print_Area" localSheetId="2">'прогноз 2021'!$A$1:$K$26</definedName>
    <definedName name="_xlnm.Print_Area" localSheetId="3">'прогноз 2022 '!$A$1:$K$26</definedName>
  </definedNames>
  <calcPr calcId="144525"/>
</workbook>
</file>

<file path=xl/calcChain.xml><?xml version="1.0" encoding="utf-8"?>
<calcChain xmlns="http://schemas.openxmlformats.org/spreadsheetml/2006/main">
  <c r="M25" i="40" l="1"/>
  <c r="M26" i="40"/>
  <c r="G17" i="41" l="1"/>
  <c r="G17" i="42"/>
  <c r="F24" i="43"/>
  <c r="D12" i="40" l="1"/>
  <c r="C18" i="43" l="1"/>
  <c r="F18" i="43" s="1"/>
  <c r="C19" i="43"/>
  <c r="F19" i="43" s="1"/>
  <c r="C20" i="43"/>
  <c r="F20" i="43" s="1"/>
  <c r="C21" i="43"/>
  <c r="F21" i="43" s="1"/>
  <c r="C22" i="43"/>
  <c r="F22" i="43" s="1"/>
  <c r="C23" i="43"/>
  <c r="F23" i="43" s="1"/>
  <c r="C24" i="43"/>
  <c r="C17" i="43"/>
  <c r="B10" i="43"/>
  <c r="C18" i="41" l="1"/>
  <c r="C19" i="41"/>
  <c r="C20" i="41"/>
  <c r="C21" i="41"/>
  <c r="C22" i="41"/>
  <c r="C23" i="41"/>
  <c r="C24" i="41"/>
  <c r="C17" i="41"/>
  <c r="B20" i="41"/>
  <c r="E10" i="42"/>
  <c r="C18" i="42"/>
  <c r="B18" i="41" s="1"/>
  <c r="C19" i="42"/>
  <c r="B19" i="41" s="1"/>
  <c r="C20" i="42"/>
  <c r="C21" i="42"/>
  <c r="B21" i="41" s="1"/>
  <c r="C22" i="42"/>
  <c r="B22" i="41" s="1"/>
  <c r="C23" i="42"/>
  <c r="B23" i="41" s="1"/>
  <c r="C24" i="42"/>
  <c r="B24" i="41" s="1"/>
  <c r="C17" i="42"/>
  <c r="B17" i="41" s="1"/>
  <c r="B18" i="42"/>
  <c r="B19" i="42"/>
  <c r="B20" i="42"/>
  <c r="B21" i="42"/>
  <c r="B22" i="42"/>
  <c r="B23" i="42"/>
  <c r="B24" i="42"/>
  <c r="B17" i="42"/>
  <c r="D17" i="43"/>
  <c r="E25" i="43" l="1"/>
  <c r="E29" i="40" l="1"/>
  <c r="I29" i="40" s="1"/>
  <c r="J29" i="40" s="1"/>
  <c r="M29" i="40" s="1"/>
  <c r="E23" i="40"/>
  <c r="E24" i="40"/>
  <c r="E25" i="40"/>
  <c r="E26" i="40"/>
  <c r="E27" i="40"/>
  <c r="E28" i="40"/>
  <c r="E22" i="40"/>
  <c r="I22" i="40" s="1"/>
  <c r="I28" i="40" l="1"/>
  <c r="J28" i="40" s="1"/>
  <c r="M28" i="40" s="1"/>
  <c r="I27" i="40"/>
  <c r="J27" i="40" s="1"/>
  <c r="M27" i="40" s="1"/>
  <c r="I26" i="40"/>
  <c r="I25" i="40"/>
  <c r="I24" i="40"/>
  <c r="J24" i="40" s="1"/>
  <c r="M24" i="40" s="1"/>
  <c r="I23" i="40"/>
  <c r="H24" i="43"/>
  <c r="G24" i="42" s="1"/>
  <c r="J22" i="40"/>
  <c r="M22" i="40" s="1"/>
  <c r="D24" i="43"/>
  <c r="D23" i="43"/>
  <c r="D22" i="43"/>
  <c r="D21" i="43"/>
  <c r="D20" i="43"/>
  <c r="D19" i="43"/>
  <c r="D18" i="43"/>
  <c r="E10" i="43"/>
  <c r="C10" i="43"/>
  <c r="F10" i="43" s="1"/>
  <c r="H10" i="43" s="1"/>
  <c r="E25" i="41"/>
  <c r="D24" i="41"/>
  <c r="D23" i="41"/>
  <c r="D22" i="41"/>
  <c r="D21" i="41"/>
  <c r="D20" i="41"/>
  <c r="D19" i="41"/>
  <c r="D18" i="41"/>
  <c r="D17" i="41"/>
  <c r="E10" i="41"/>
  <c r="C10" i="41"/>
  <c r="B10" i="41"/>
  <c r="E25" i="42"/>
  <c r="D24" i="42"/>
  <c r="D23" i="42"/>
  <c r="D22" i="42"/>
  <c r="D21" i="42"/>
  <c r="D20" i="42"/>
  <c r="D19" i="42"/>
  <c r="D18" i="42"/>
  <c r="D17" i="42"/>
  <c r="C10" i="42"/>
  <c r="F10" i="42" s="1"/>
  <c r="B10" i="42"/>
  <c r="F10" i="41" l="1"/>
  <c r="J10" i="43"/>
  <c r="G10" i="42"/>
  <c r="H10" i="42" s="1"/>
  <c r="H23" i="43"/>
  <c r="G23" i="42" s="1"/>
  <c r="H23" i="42" s="1"/>
  <c r="J23" i="40"/>
  <c r="I30" i="40"/>
  <c r="H22" i="43"/>
  <c r="G22" i="42" s="1"/>
  <c r="H22" i="42" s="1"/>
  <c r="H21" i="43"/>
  <c r="G21" i="42" s="1"/>
  <c r="H21" i="42" s="1"/>
  <c r="J21" i="42" s="1"/>
  <c r="H20" i="43"/>
  <c r="G20" i="42" s="1"/>
  <c r="H20" i="42" s="1"/>
  <c r="H19" i="43"/>
  <c r="I33" i="40"/>
  <c r="H24" i="42"/>
  <c r="K24" i="43"/>
  <c r="D10" i="41"/>
  <c r="D10" i="42"/>
  <c r="J14" i="43"/>
  <c r="D10" i="43"/>
  <c r="K17" i="43"/>
  <c r="G20" i="41" l="1"/>
  <c r="H20" i="41" s="1"/>
  <c r="J20" i="41" s="1"/>
  <c r="J20" i="42"/>
  <c r="G22" i="41"/>
  <c r="H22" i="41" s="1"/>
  <c r="J22" i="41" s="1"/>
  <c r="J22" i="42"/>
  <c r="H18" i="43"/>
  <c r="G18" i="42" s="1"/>
  <c r="H18" i="42" s="1"/>
  <c r="M23" i="40"/>
  <c r="G24" i="41"/>
  <c r="H24" i="41" s="1"/>
  <c r="J24" i="41" s="1"/>
  <c r="J24" i="42"/>
  <c r="G23" i="41"/>
  <c r="H23" i="41" s="1"/>
  <c r="J23" i="41" s="1"/>
  <c r="J23" i="42"/>
  <c r="K23" i="43"/>
  <c r="M30" i="40"/>
  <c r="M37" i="40"/>
  <c r="M33" i="40"/>
  <c r="K18" i="43"/>
  <c r="J33" i="40"/>
  <c r="K20" i="43"/>
  <c r="K22" i="43"/>
  <c r="K24" i="41"/>
  <c r="G21" i="41"/>
  <c r="H21" i="41" s="1"/>
  <c r="K21" i="42"/>
  <c r="K21" i="43"/>
  <c r="G25" i="43"/>
  <c r="J14" i="42"/>
  <c r="K17" i="42"/>
  <c r="K24" i="42"/>
  <c r="K23" i="42"/>
  <c r="K22" i="42"/>
  <c r="K20" i="42"/>
  <c r="H25" i="43"/>
  <c r="K19" i="43"/>
  <c r="G19" i="42"/>
  <c r="H19" i="42" s="1"/>
  <c r="G23" i="40"/>
  <c r="G24" i="40"/>
  <c r="G25" i="40"/>
  <c r="G26" i="40"/>
  <c r="G27" i="40"/>
  <c r="G28" i="40"/>
  <c r="G29" i="40"/>
  <c r="G22" i="40"/>
  <c r="K20" i="41" l="1"/>
  <c r="K22" i="41"/>
  <c r="K23" i="41"/>
  <c r="H25" i="42"/>
  <c r="J15" i="42" s="1"/>
  <c r="J19" i="42"/>
  <c r="G18" i="41"/>
  <c r="H18" i="41" s="1"/>
  <c r="K18" i="41" s="1"/>
  <c r="J18" i="42"/>
  <c r="H27" i="43"/>
  <c r="K18" i="42"/>
  <c r="K25" i="43"/>
  <c r="J15" i="43"/>
  <c r="K25" i="42"/>
  <c r="K17" i="41"/>
  <c r="H27" i="42"/>
  <c r="J25" i="43"/>
  <c r="J16" i="43"/>
  <c r="K21" i="41"/>
  <c r="J21" i="41"/>
  <c r="J16" i="41" s="1"/>
  <c r="G19" i="41"/>
  <c r="K19" i="42"/>
  <c r="J14" i="41"/>
  <c r="J13" i="43"/>
  <c r="K10" i="43"/>
  <c r="G25" i="42"/>
  <c r="C12" i="40"/>
  <c r="J11" i="43" l="1"/>
  <c r="J27" i="43" s="1"/>
  <c r="H19" i="41"/>
  <c r="H27" i="41" s="1"/>
  <c r="G25" i="41"/>
  <c r="J13" i="42"/>
  <c r="J11" i="42" s="1"/>
  <c r="J10" i="42" s="1"/>
  <c r="G10" i="41"/>
  <c r="H10" i="41" s="1"/>
  <c r="J10" i="41" s="1"/>
  <c r="K19" i="41" l="1"/>
  <c r="H25" i="41"/>
  <c r="J13" i="41"/>
  <c r="K28" i="40"/>
  <c r="K27" i="40"/>
  <c r="K29" i="40"/>
  <c r="E12" i="40"/>
  <c r="I12" i="40" s="1"/>
  <c r="F12" i="40"/>
  <c r="N12" i="40"/>
  <c r="K25" i="41" l="1"/>
  <c r="J15" i="41"/>
  <c r="J11" i="41" s="1"/>
  <c r="J27" i="41" s="1"/>
  <c r="J12" i="40"/>
  <c r="G12" i="40"/>
  <c r="O22" i="40"/>
  <c r="M21" i="40"/>
  <c r="K25" i="40"/>
  <c r="K24" i="40"/>
  <c r="K23" i="40"/>
  <c r="K22" i="40"/>
  <c r="O28" i="40"/>
  <c r="O24" i="40"/>
  <c r="O27" i="40"/>
  <c r="O29" i="40"/>
  <c r="O25" i="40"/>
  <c r="M15" i="40" l="1"/>
  <c r="K26" i="40"/>
  <c r="J30" i="40"/>
  <c r="N34" i="40" s="1"/>
  <c r="M17" i="40"/>
  <c r="O26" i="40"/>
  <c r="O23" i="40"/>
  <c r="O30" i="40" l="1"/>
  <c r="M20" i="40"/>
  <c r="M16" i="40" s="1"/>
  <c r="M13" i="40" s="1"/>
  <c r="M12" i="40" s="1"/>
  <c r="K12" i="40"/>
  <c r="O12" i="40"/>
</calcChain>
</file>

<file path=xl/sharedStrings.xml><?xml version="1.0" encoding="utf-8"?>
<sst xmlns="http://schemas.openxmlformats.org/spreadsheetml/2006/main" count="119" uniqueCount="77">
  <si>
    <t>Наименование муниципальных образований</t>
  </si>
  <si>
    <t>№ п/п</t>
  </si>
  <si>
    <t>сумма</t>
  </si>
  <si>
    <t>в местный бюджет</t>
  </si>
  <si>
    <t>Бошинское с/п</t>
  </si>
  <si>
    <t>норматив отчислений</t>
  </si>
  <si>
    <t>9 = гр8/гр1</t>
  </si>
  <si>
    <t>8 = гр4+гр7</t>
  </si>
  <si>
    <t>7 = гр3*гр6</t>
  </si>
  <si>
    <t>3 = гр1-гр2</t>
  </si>
  <si>
    <t>тыс. руб.</t>
  </si>
  <si>
    <t>Муниципальное образование</t>
  </si>
  <si>
    <t>Муниципальный район</t>
  </si>
  <si>
    <t xml:space="preserve">Городское поселение </t>
  </si>
  <si>
    <t>Вельяминовское с/п</t>
  </si>
  <si>
    <t>Верхопольское с/п</t>
  </si>
  <si>
    <t>Дроновское с/п</t>
  </si>
  <si>
    <t>Мылинское с/п</t>
  </si>
  <si>
    <t>Песоченское с/п</t>
  </si>
  <si>
    <t>Ревенское с/п</t>
  </si>
  <si>
    <t>доля НДФЛ в ФОТ</t>
  </si>
  <si>
    <t>13=гр8/12</t>
  </si>
  <si>
    <t>мун.р-н</t>
  </si>
  <si>
    <t xml:space="preserve">Прогноз налога на доходы физических лиц на 2020 год  </t>
  </si>
  <si>
    <t>тыс.рублей</t>
  </si>
  <si>
    <t xml:space="preserve">Темп роста ФОТ 2019/2018года ст.5=(ст.4/ст.3)% </t>
  </si>
  <si>
    <t>ФОТ 2020 год (прогноз)</t>
  </si>
  <si>
    <t xml:space="preserve"> Прогноз налога на доходы физических лиц на 2020 год ст.9=(ст.8*ст.7)</t>
  </si>
  <si>
    <t xml:space="preserve">Норматив отчислений </t>
  </si>
  <si>
    <t>Карачевский мун.район</t>
  </si>
  <si>
    <t>поселения</t>
  </si>
  <si>
    <t>Карачевское г/пос.</t>
  </si>
  <si>
    <t>Бошинское с/пос.</t>
  </si>
  <si>
    <t>Вельяминовское с/пос.</t>
  </si>
  <si>
    <t>Верхопольское с/пос.</t>
  </si>
  <si>
    <t>Дроновское с/пос.</t>
  </si>
  <si>
    <t>Мылинское с/пос.</t>
  </si>
  <si>
    <t>Песоченское с/пос.</t>
  </si>
  <si>
    <t>Ревенское с/пос.</t>
  </si>
  <si>
    <t xml:space="preserve">Прогноз налога на доходы физических лиц на 2021 год  </t>
  </si>
  <si>
    <t>ФОТ                                 2020 года по данным департамента экономического развития</t>
  </si>
  <si>
    <t>ФОТ 2021 год (прогноз)</t>
  </si>
  <si>
    <t>Темп роста ФОТ 2021/2020 года ст.7=(ст.6/ст.4),%</t>
  </si>
  <si>
    <t xml:space="preserve"> Прогноз налога на доходы физических лиц на 2021 год ст.9=(ст.8*ст.7)</t>
  </si>
  <si>
    <t>Согласовано с департаментом</t>
  </si>
  <si>
    <t xml:space="preserve">в т.ч. патент </t>
  </si>
  <si>
    <t>факт 2018г. (контингент- всего 65н)</t>
  </si>
  <si>
    <t>ожидаемая оценка 2019г. (факт 6 мес.2019г.+ожид 2 пол. 2019г.)</t>
  </si>
  <si>
    <t>темп роста ожид 2019г к факту 2018г.</t>
  </si>
  <si>
    <t>Оценка ФОТ за 2019 год по данным департамента экономического развития</t>
  </si>
  <si>
    <t>ФОТ 2018 года</t>
  </si>
  <si>
    <t>ФОТ                                ( оценка) 2019 года по данным департамента экономического развития</t>
  </si>
  <si>
    <t>Темп роста ФОТ 2019/2018 года ст.7=(ст.6/ст.4),%</t>
  </si>
  <si>
    <t xml:space="preserve">Ожидаемая оценка налога на доходы физических лиц на 2019 год (по отдельному расчёту) </t>
  </si>
  <si>
    <t>ФОТ 2019 года (оценка)</t>
  </si>
  <si>
    <t xml:space="preserve">Темп роста ФОТ 2020/2019года ст.5=(ст.4/ст.3)% </t>
  </si>
  <si>
    <t xml:space="preserve">Прогноз налога на доходы физических лиц на 2020год </t>
  </si>
  <si>
    <t xml:space="preserve">Прогноз налога на доходы физических лиц на 2022 год  </t>
  </si>
  <si>
    <t>ФОТ 2020 года по данным департамента экономического развития</t>
  </si>
  <si>
    <t>ФОТ                                 2021 года по данным департамента экономического развития</t>
  </si>
  <si>
    <t xml:space="preserve">Темп роста ФОТ 2021/2020года ст.5=(ст.4/ст.3)% </t>
  </si>
  <si>
    <t>ФОТ 2022 год (прогноз)</t>
  </si>
  <si>
    <t>Темп роста ФОТ 2022/2021 года ст.7=(ст.6/ст.4),%</t>
  </si>
  <si>
    <t xml:space="preserve"> Прогноз налога на доходы физических лиц на 2022 год ст.9=(ст.8*ст.7)</t>
  </si>
  <si>
    <t xml:space="preserve">Прогноз налога на доходы физических лиц на 2021 год </t>
  </si>
  <si>
    <t>Расчет ожидаемой оценки поступлений   налога на доходы физических лиц в 2019 году                                   (из расчета 9 месяцев)</t>
  </si>
  <si>
    <r>
      <t xml:space="preserve">факт 1.10.2018г.- </t>
    </r>
    <r>
      <rPr>
        <u/>
        <sz val="9"/>
        <rFont val="Arial Cyr"/>
        <charset val="204"/>
      </rPr>
      <t>всего</t>
    </r>
    <r>
      <rPr>
        <sz val="9"/>
        <rFont val="Arial Cyr"/>
        <charset val="204"/>
      </rPr>
      <t xml:space="preserve"> (контингент 65н)</t>
    </r>
  </si>
  <si>
    <r>
      <t>факт 1.10.2019г.-</t>
    </r>
    <r>
      <rPr>
        <u/>
        <sz val="10"/>
        <rFont val="Arial Cyr"/>
        <charset val="204"/>
      </rPr>
      <t xml:space="preserve"> всего</t>
    </r>
    <r>
      <rPr>
        <sz val="10"/>
        <rFont val="Arial Cyr"/>
        <charset val="204"/>
      </rPr>
      <t xml:space="preserve"> (контингент 65н)</t>
    </r>
  </si>
  <si>
    <t>темп роста 9 мес. 2019г. к 9 мес. 2018г</t>
  </si>
  <si>
    <r>
      <t xml:space="preserve">факт 4 кв. 2018г- </t>
    </r>
    <r>
      <rPr>
        <u/>
        <sz val="10"/>
        <rFont val="Arial Cyr"/>
        <charset val="204"/>
      </rPr>
      <t>всего</t>
    </r>
    <r>
      <rPr>
        <sz val="10"/>
        <rFont val="Arial Cyr"/>
        <charset val="204"/>
      </rPr>
      <t xml:space="preserve"> (контингент 65н)</t>
    </r>
  </si>
  <si>
    <t>оценка 4 кв.  2019г. (факт 9 мес. 2018г. * темп роста ФОТ)</t>
  </si>
  <si>
    <r>
      <t>темп роста ФОТ</t>
    </r>
    <r>
      <rPr>
        <i/>
        <sz val="10"/>
        <color theme="1"/>
        <rFont val="Arial Cyr"/>
        <charset val="204"/>
      </rPr>
      <t xml:space="preserve"> 9мес 2019г. к 9м. 2018г.</t>
    </r>
  </si>
  <si>
    <t>патент 30%</t>
  </si>
  <si>
    <t>мун.р-н б/патента</t>
  </si>
  <si>
    <t>мун.р. с патент</t>
  </si>
  <si>
    <t>5 = гр4гр/гр2%</t>
  </si>
  <si>
    <t>в т.ч. патент 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</si>
</sst>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0.000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u/>
      <sz val="9"/>
      <name val="Arial Cyr"/>
      <charset val="204"/>
    </font>
    <font>
      <u/>
      <sz val="10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sz val="10"/>
      <color theme="1"/>
      <name val="Arial Cyr"/>
      <charset val="204"/>
    </font>
    <font>
      <i/>
      <u/>
      <sz val="10"/>
      <color theme="1"/>
      <name val="Arial Cyr"/>
      <charset val="204"/>
    </font>
    <font>
      <i/>
      <sz val="10"/>
      <color theme="1"/>
      <name val="Arial Cyr"/>
      <charset val="204"/>
    </font>
    <font>
      <b/>
      <sz val="14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4" fillId="2" borderId="1" xfId="0" applyFont="1" applyFill="1" applyBorder="1"/>
    <xf numFmtId="4" fontId="4" fillId="2" borderId="1" xfId="0" applyNumberFormat="1" applyFont="1" applyFill="1" applyBorder="1"/>
    <xf numFmtId="0" fontId="0" fillId="0" borderId="1" xfId="0" applyBorder="1" applyAlignment="1">
      <alignment wrapText="1"/>
    </xf>
    <xf numFmtId="0" fontId="4" fillId="0" borderId="0" xfId="0" applyFont="1"/>
    <xf numFmtId="0" fontId="0" fillId="3" borderId="0" xfId="0" applyFill="1"/>
    <xf numFmtId="0" fontId="1" fillId="3" borderId="1" xfId="0" applyFont="1" applyFill="1" applyBorder="1" applyAlignment="1">
      <alignment horizontal="center"/>
    </xf>
    <xf numFmtId="4" fontId="4" fillId="3" borderId="1" xfId="0" applyNumberFormat="1" applyFont="1" applyFill="1" applyBorder="1"/>
    <xf numFmtId="2" fontId="0" fillId="3" borderId="1" xfId="0" applyNumberFormat="1" applyFill="1" applyBorder="1"/>
    <xf numFmtId="4" fontId="0" fillId="3" borderId="1" xfId="0" applyNumberFormat="1" applyFill="1" applyBorder="1"/>
    <xf numFmtId="4" fontId="1" fillId="3" borderId="1" xfId="0" applyNumberFormat="1" applyFont="1" applyFill="1" applyBorder="1"/>
    <xf numFmtId="0" fontId="0" fillId="3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" fillId="0" borderId="0" xfId="0" applyFont="1"/>
    <xf numFmtId="0" fontId="8" fillId="3" borderId="1" xfId="0" applyFont="1" applyFill="1" applyBorder="1"/>
    <xf numFmtId="0" fontId="8" fillId="0" borderId="0" xfId="0" applyFont="1"/>
    <xf numFmtId="0" fontId="11" fillId="3" borderId="1" xfId="0" applyFont="1" applyFill="1" applyBorder="1" applyAlignment="1">
      <alignment horizontal="center"/>
    </xf>
    <xf numFmtId="164" fontId="11" fillId="3" borderId="1" xfId="0" applyNumberFormat="1" applyFont="1" applyFill="1" applyBorder="1"/>
    <xf numFmtId="4" fontId="11" fillId="3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2" fontId="0" fillId="2" borderId="1" xfId="0" applyNumberFormat="1" applyFill="1" applyBorder="1"/>
    <xf numFmtId="164" fontId="11" fillId="2" borderId="1" xfId="0" applyNumberFormat="1" applyFont="1" applyFill="1" applyBorder="1"/>
    <xf numFmtId="0" fontId="0" fillId="2" borderId="0" xfId="0" applyFill="1"/>
    <xf numFmtId="0" fontId="12" fillId="0" borderId="1" xfId="0" applyFont="1" applyBorder="1" applyAlignment="1">
      <alignment horizontal="right" wrapText="1"/>
    </xf>
    <xf numFmtId="4" fontId="0" fillId="2" borderId="1" xfId="0" applyNumberFormat="1" applyFill="1" applyBorder="1"/>
    <xf numFmtId="4" fontId="0" fillId="0" borderId="0" xfId="0" applyNumberFormat="1"/>
    <xf numFmtId="0" fontId="10" fillId="0" borderId="0" xfId="0" applyFont="1"/>
    <xf numFmtId="0" fontId="0" fillId="3" borderId="1" xfId="0" applyFont="1" applyFill="1" applyBorder="1"/>
    <xf numFmtId="0" fontId="0" fillId="4" borderId="0" xfId="0" applyFill="1"/>
    <xf numFmtId="4" fontId="0" fillId="4" borderId="0" xfId="0" applyNumberFormat="1" applyFill="1"/>
    <xf numFmtId="0" fontId="8" fillId="4" borderId="0" xfId="0" applyFont="1" applyFill="1"/>
    <xf numFmtId="165" fontId="0" fillId="4" borderId="0" xfId="0" applyNumberFormat="1" applyFill="1"/>
    <xf numFmtId="0" fontId="4" fillId="0" borderId="1" xfId="0" applyFont="1" applyFill="1" applyBorder="1"/>
    <xf numFmtId="4" fontId="4" fillId="0" borderId="1" xfId="0" applyNumberFormat="1" applyFont="1" applyFill="1" applyBorder="1"/>
    <xf numFmtId="2" fontId="0" fillId="0" borderId="1" xfId="0" applyNumberFormat="1" applyFill="1" applyBorder="1"/>
    <xf numFmtId="164" fontId="11" fillId="0" borderId="1" xfId="0" applyNumberFormat="1" applyFont="1" applyFill="1" applyBorder="1"/>
    <xf numFmtId="4" fontId="0" fillId="0" borderId="1" xfId="0" applyNumberFormat="1" applyFill="1" applyBorder="1"/>
    <xf numFmtId="4" fontId="0" fillId="0" borderId="1" xfId="0" applyNumberFormat="1" applyFont="1" applyFill="1" applyBorder="1"/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4" fontId="11" fillId="0" borderId="1" xfId="0" applyNumberFormat="1" applyFont="1" applyFill="1" applyBorder="1"/>
    <xf numFmtId="164" fontId="11" fillId="0" borderId="3" xfId="0" applyNumberFormat="1" applyFont="1" applyFill="1" applyBorder="1"/>
    <xf numFmtId="2" fontId="11" fillId="0" borderId="1" xfId="0" applyNumberFormat="1" applyFont="1" applyFill="1" applyBorder="1"/>
    <xf numFmtId="2" fontId="11" fillId="2" borderId="1" xfId="0" applyNumberFormat="1" applyFont="1" applyFill="1" applyBorder="1"/>
    <xf numFmtId="0" fontId="18" fillId="0" borderId="10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5" borderId="10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66" fontId="0" fillId="0" borderId="1" xfId="0" applyNumberFormat="1" applyBorder="1"/>
    <xf numFmtId="165" fontId="7" fillId="0" borderId="1" xfId="0" applyNumberFormat="1" applyFont="1" applyBorder="1" applyAlignment="1">
      <alignment horizontal="center" vertical="center"/>
    </xf>
    <xf numFmtId="167" fontId="0" fillId="0" borderId="1" xfId="0" applyNumberFormat="1" applyBorder="1"/>
    <xf numFmtId="165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13" fillId="4" borderId="0" xfId="0" applyNumberFormat="1" applyFont="1" applyFill="1" applyBorder="1" applyAlignment="1">
      <alignment horizontal="center"/>
    </xf>
    <xf numFmtId="3" fontId="4" fillId="5" borderId="1" xfId="0" applyNumberFormat="1" applyFont="1" applyFill="1" applyBorder="1"/>
    <xf numFmtId="3" fontId="4" fillId="6" borderId="1" xfId="0" applyNumberFormat="1" applyFont="1" applyFill="1" applyBorder="1"/>
    <xf numFmtId="3" fontId="0" fillId="0" borderId="0" xfId="0" applyNumberFormat="1"/>
    <xf numFmtId="3" fontId="0" fillId="4" borderId="0" xfId="0" applyNumberFormat="1" applyFill="1"/>
    <xf numFmtId="3" fontId="18" fillId="5" borderId="1" xfId="0" applyNumberFormat="1" applyFont="1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3" fontId="1" fillId="3" borderId="1" xfId="0" applyNumberFormat="1" applyFont="1" applyFill="1" applyBorder="1"/>
    <xf numFmtId="3" fontId="0" fillId="3" borderId="1" xfId="0" applyNumberFormat="1" applyFont="1" applyFill="1" applyBorder="1"/>
    <xf numFmtId="3" fontId="8" fillId="0" borderId="1" xfId="0" applyNumberFormat="1" applyFont="1" applyFill="1" applyBorder="1"/>
    <xf numFmtId="3" fontId="1" fillId="0" borderId="1" xfId="0" applyNumberFormat="1" applyFont="1" applyFill="1" applyBorder="1"/>
    <xf numFmtId="3" fontId="0" fillId="0" borderId="1" xfId="0" applyNumberFormat="1" applyFont="1" applyFill="1" applyBorder="1"/>
    <xf numFmtId="3" fontId="4" fillId="2" borderId="1" xfId="0" applyNumberFormat="1" applyFont="1" applyFill="1" applyBorder="1"/>
    <xf numFmtId="3" fontId="4" fillId="0" borderId="1" xfId="0" applyNumberFormat="1" applyFont="1" applyFill="1" applyBorder="1"/>
    <xf numFmtId="3" fontId="0" fillId="3" borderId="1" xfId="0" applyNumberFormat="1" applyFill="1" applyBorder="1"/>
    <xf numFmtId="3" fontId="4" fillId="3" borderId="1" xfId="0" applyNumberFormat="1" applyFont="1" applyFill="1" applyBorder="1"/>
    <xf numFmtId="3" fontId="0" fillId="0" borderId="1" xfId="0" applyNumberFormat="1" applyBorder="1" applyAlignment="1">
      <alignment horizontal="center"/>
    </xf>
    <xf numFmtId="3" fontId="7" fillId="0" borderId="1" xfId="0" applyNumberFormat="1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/>
    </xf>
    <xf numFmtId="0" fontId="2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8" fillId="0" borderId="14" xfId="0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9" xfId="0" applyFont="1" applyBorder="1" applyAlignment="1">
      <alignment horizontal="right" wrapText="1"/>
    </xf>
    <xf numFmtId="0" fontId="18" fillId="0" borderId="1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20" fillId="5" borderId="13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"/>
  <sheetViews>
    <sheetView view="pageBreakPreview" topLeftCell="A7" zoomScaleNormal="100" zoomScaleSheetLayoutView="100" workbookViewId="0">
      <selection activeCell="A30" sqref="A30:XFD33"/>
    </sheetView>
  </sheetViews>
  <sheetFormatPr defaultRowHeight="12.75" x14ac:dyDescent="0.2"/>
  <cols>
    <col min="1" max="1" width="3" customWidth="1"/>
    <col min="2" max="2" width="18.7109375" customWidth="1"/>
    <col min="3" max="3" width="10" customWidth="1"/>
    <col min="4" max="4" width="10.7109375" customWidth="1"/>
    <col min="5" max="5" width="11" customWidth="1"/>
    <col min="6" max="6" width="11.7109375" style="18" bestFit="1" customWidth="1"/>
    <col min="7" max="7" width="13.7109375" customWidth="1"/>
    <col min="8" max="8" width="11.28515625" customWidth="1"/>
    <col min="9" max="9" width="12.5703125" customWidth="1"/>
    <col min="10" max="11" width="11.42578125" customWidth="1"/>
    <col min="12" max="12" width="11.140625" customWidth="1"/>
    <col min="13" max="13" width="9.85546875" customWidth="1"/>
    <col min="14" max="14" width="12.5703125" customWidth="1"/>
  </cols>
  <sheetData>
    <row r="1" spans="1:35" ht="1.5" customHeight="1" x14ac:dyDescent="0.2"/>
    <row r="2" spans="1:35" ht="12.75" customHeight="1" x14ac:dyDescent="0.2">
      <c r="A2" s="83" t="s">
        <v>65</v>
      </c>
      <c r="B2" s="83"/>
      <c r="C2" s="83"/>
      <c r="D2" s="83"/>
      <c r="E2" s="83"/>
      <c r="F2" s="83"/>
      <c r="G2" s="83"/>
      <c r="H2" s="83"/>
      <c r="I2" s="83"/>
      <c r="J2" s="83"/>
      <c r="M2" s="7"/>
      <c r="N2" s="7"/>
    </row>
    <row r="3" spans="1:35" ht="19.5" customHeight="1" x14ac:dyDescent="0.2">
      <c r="A3" s="83"/>
      <c r="B3" s="83"/>
      <c r="C3" s="83"/>
      <c r="D3" s="83"/>
      <c r="E3" s="83"/>
      <c r="F3" s="83"/>
      <c r="G3" s="83"/>
      <c r="H3" s="83"/>
      <c r="I3" s="83"/>
      <c r="J3" s="83"/>
      <c r="M3" s="7"/>
      <c r="N3" s="7"/>
    </row>
    <row r="4" spans="1:35" ht="3" customHeight="1" x14ac:dyDescent="0.2">
      <c r="F4" s="16"/>
      <c r="M4" s="7"/>
      <c r="N4" s="7"/>
    </row>
    <row r="5" spans="1:35" x14ac:dyDescent="0.2">
      <c r="F5" s="16"/>
      <c r="L5" s="7" t="s">
        <v>10</v>
      </c>
      <c r="M5" s="7"/>
      <c r="N5" s="7"/>
    </row>
    <row r="6" spans="1:35" ht="12.75" customHeight="1" x14ac:dyDescent="0.2">
      <c r="A6" s="84" t="s">
        <v>1</v>
      </c>
      <c r="B6" s="84" t="s">
        <v>0</v>
      </c>
      <c r="C6" s="102" t="s">
        <v>46</v>
      </c>
      <c r="D6" s="87" t="s">
        <v>66</v>
      </c>
      <c r="E6" s="90" t="s">
        <v>69</v>
      </c>
      <c r="F6" s="93" t="s">
        <v>67</v>
      </c>
      <c r="G6" s="90" t="s">
        <v>68</v>
      </c>
      <c r="H6" s="99" t="s">
        <v>71</v>
      </c>
      <c r="I6" s="90" t="s">
        <v>70</v>
      </c>
      <c r="J6" s="108" t="s">
        <v>47</v>
      </c>
      <c r="K6" s="111" t="s">
        <v>48</v>
      </c>
      <c r="L6" s="114" t="s">
        <v>5</v>
      </c>
      <c r="M6" s="115"/>
      <c r="N6" s="90" t="s">
        <v>49</v>
      </c>
      <c r="O6" s="105" t="s">
        <v>20</v>
      </c>
    </row>
    <row r="7" spans="1:35" x14ac:dyDescent="0.2">
      <c r="A7" s="85"/>
      <c r="B7" s="85"/>
      <c r="C7" s="103"/>
      <c r="D7" s="88"/>
      <c r="E7" s="91"/>
      <c r="F7" s="94"/>
      <c r="G7" s="91"/>
      <c r="H7" s="100"/>
      <c r="I7" s="91"/>
      <c r="J7" s="109"/>
      <c r="K7" s="112"/>
      <c r="L7" s="116"/>
      <c r="M7" s="117"/>
      <c r="N7" s="91"/>
      <c r="O7" s="106"/>
    </row>
    <row r="8" spans="1:35" ht="12.75" customHeight="1" x14ac:dyDescent="0.2">
      <c r="A8" s="85"/>
      <c r="B8" s="85"/>
      <c r="C8" s="103"/>
      <c r="D8" s="88"/>
      <c r="E8" s="91"/>
      <c r="F8" s="94"/>
      <c r="G8" s="91"/>
      <c r="H8" s="100"/>
      <c r="I8" s="91"/>
      <c r="J8" s="109"/>
      <c r="K8" s="112"/>
      <c r="L8" s="90" t="s">
        <v>3</v>
      </c>
      <c r="M8" s="108" t="s">
        <v>2</v>
      </c>
      <c r="N8" s="91"/>
      <c r="O8" s="106"/>
    </row>
    <row r="9" spans="1:35" x14ac:dyDescent="0.2">
      <c r="A9" s="85"/>
      <c r="B9" s="85"/>
      <c r="C9" s="103"/>
      <c r="D9" s="88"/>
      <c r="E9" s="91"/>
      <c r="F9" s="94"/>
      <c r="G9" s="91"/>
      <c r="H9" s="100"/>
      <c r="I9" s="91"/>
      <c r="J9" s="109"/>
      <c r="K9" s="112"/>
      <c r="L9" s="91"/>
      <c r="M9" s="109"/>
      <c r="N9" s="91"/>
      <c r="O9" s="106"/>
    </row>
    <row r="10" spans="1:35" ht="74.25" customHeight="1" x14ac:dyDescent="0.2">
      <c r="A10" s="86"/>
      <c r="B10" s="86"/>
      <c r="C10" s="104"/>
      <c r="D10" s="89"/>
      <c r="E10" s="92"/>
      <c r="F10" s="95"/>
      <c r="G10" s="92"/>
      <c r="H10" s="101"/>
      <c r="I10" s="92"/>
      <c r="J10" s="110"/>
      <c r="K10" s="113"/>
      <c r="L10" s="92"/>
      <c r="M10" s="110"/>
      <c r="N10" s="92"/>
      <c r="O10" s="107"/>
    </row>
    <row r="11" spans="1:35" x14ac:dyDescent="0.2">
      <c r="A11" s="2"/>
      <c r="B11" s="2"/>
      <c r="C11" s="9">
        <v>1</v>
      </c>
      <c r="D11" s="9">
        <v>2</v>
      </c>
      <c r="E11" s="14" t="s">
        <v>9</v>
      </c>
      <c r="F11" s="9">
        <v>4</v>
      </c>
      <c r="G11" s="14" t="s">
        <v>75</v>
      </c>
      <c r="H11" s="19">
        <v>6</v>
      </c>
      <c r="I11" s="14" t="s">
        <v>8</v>
      </c>
      <c r="J11" s="15" t="s">
        <v>7</v>
      </c>
      <c r="K11" s="19" t="s">
        <v>6</v>
      </c>
      <c r="L11" s="14">
        <v>10</v>
      </c>
      <c r="M11" s="15">
        <v>11</v>
      </c>
      <c r="N11" s="15">
        <v>12</v>
      </c>
      <c r="O11" s="1" t="s">
        <v>21</v>
      </c>
    </row>
    <row r="12" spans="1:35" s="25" customFormat="1" ht="39.75" hidden="1" customHeight="1" x14ac:dyDescent="0.2">
      <c r="A12" s="4"/>
      <c r="B12" s="22" t="s">
        <v>11</v>
      </c>
      <c r="C12" s="75">
        <f>SUM(C22:C29)</f>
        <v>298290.72999999992</v>
      </c>
      <c r="D12" s="75">
        <f>SUM(D22:D29)</f>
        <v>206760.11000000002</v>
      </c>
      <c r="E12" s="75">
        <f>SUM(E22:E29)</f>
        <v>91530.62000000001</v>
      </c>
      <c r="F12" s="75">
        <f>SUM(F22:F29)</f>
        <v>215410</v>
      </c>
      <c r="G12" s="23">
        <f>F12/D12*100</f>
        <v>104.18353907821</v>
      </c>
      <c r="H12" s="46">
        <v>108.09</v>
      </c>
      <c r="I12" s="75">
        <f>E12*H12%</f>
        <v>98935.44715800001</v>
      </c>
      <c r="J12" s="75">
        <f>F12+I12</f>
        <v>314345.44715800002</v>
      </c>
      <c r="K12" s="24">
        <f>J12/C12*100</f>
        <v>105.38223804608347</v>
      </c>
      <c r="L12" s="5"/>
      <c r="M12" s="64">
        <f>M13+M22+M30</f>
        <v>144910.85496490001</v>
      </c>
      <c r="N12" s="5">
        <f>SUM(N22:N29)</f>
        <v>2360000</v>
      </c>
      <c r="O12" s="27">
        <f>J12/N12*100</f>
        <v>13.319722337203391</v>
      </c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</row>
    <row r="13" spans="1:35" s="25" customFormat="1" hidden="1" x14ac:dyDescent="0.2">
      <c r="A13" s="4"/>
      <c r="B13" s="22"/>
      <c r="C13" s="5"/>
      <c r="D13" s="5"/>
      <c r="E13" s="5"/>
      <c r="F13" s="5"/>
      <c r="G13" s="23"/>
      <c r="H13" s="24"/>
      <c r="I13" s="75"/>
      <c r="J13" s="75"/>
      <c r="K13" s="24"/>
      <c r="L13" s="40" t="s">
        <v>74</v>
      </c>
      <c r="M13" s="64">
        <f>M16+M14</f>
        <v>116092.59896362001</v>
      </c>
      <c r="N13" s="5"/>
      <c r="O13" s="27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</row>
    <row r="14" spans="1:35" s="25" customFormat="1" ht="12.75" hidden="1" customHeight="1" x14ac:dyDescent="0.2">
      <c r="A14" s="4"/>
      <c r="B14" s="22"/>
      <c r="C14" s="5"/>
      <c r="D14" s="5"/>
      <c r="E14" s="5"/>
      <c r="F14" s="5"/>
      <c r="G14" s="23"/>
      <c r="H14" s="24"/>
      <c r="I14" s="75"/>
      <c r="J14" s="75"/>
      <c r="K14" s="24"/>
      <c r="L14" s="5" t="s">
        <v>72</v>
      </c>
      <c r="M14" s="64">
        <v>312</v>
      </c>
      <c r="N14" s="5"/>
      <c r="O14" s="27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</row>
    <row r="15" spans="1:35" s="25" customFormat="1" hidden="1" x14ac:dyDescent="0.2">
      <c r="A15" s="4"/>
      <c r="B15" s="22"/>
      <c r="C15" s="5"/>
      <c r="D15" s="5"/>
      <c r="E15" s="5"/>
      <c r="F15" s="5"/>
      <c r="G15" s="23"/>
      <c r="H15" s="24"/>
      <c r="I15" s="75"/>
      <c r="J15" s="75"/>
      <c r="K15" s="24"/>
      <c r="L15" s="5">
        <v>0.46</v>
      </c>
      <c r="M15" s="64">
        <f>J12*L15</f>
        <v>144598.90569268001</v>
      </c>
      <c r="N15" s="5"/>
      <c r="O15" s="27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</row>
    <row r="16" spans="1:35" s="25" customFormat="1" ht="12.75" hidden="1" customHeight="1" x14ac:dyDescent="0.2">
      <c r="A16" s="35"/>
      <c r="B16" s="96" t="s">
        <v>12</v>
      </c>
      <c r="C16" s="36"/>
      <c r="D16" s="36"/>
      <c r="E16" s="36"/>
      <c r="F16" s="36"/>
      <c r="G16" s="37"/>
      <c r="H16" s="38"/>
      <c r="I16" s="76"/>
      <c r="J16" s="76"/>
      <c r="K16" s="38"/>
      <c r="L16" s="40" t="s">
        <v>73</v>
      </c>
      <c r="M16" s="64">
        <f>M17+M20+M21</f>
        <v>115780.59896362001</v>
      </c>
      <c r="N16" s="36"/>
      <c r="O16" s="39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</row>
    <row r="17" spans="1:35" s="25" customFormat="1" ht="12.75" hidden="1" customHeight="1" x14ac:dyDescent="0.2">
      <c r="A17" s="35"/>
      <c r="B17" s="97"/>
      <c r="C17" s="36"/>
      <c r="D17" s="36"/>
      <c r="E17" s="36"/>
      <c r="F17" s="36"/>
      <c r="G17" s="37"/>
      <c r="H17" s="38"/>
      <c r="I17" s="76"/>
      <c r="J17" s="76"/>
      <c r="K17" s="38"/>
      <c r="L17" s="40">
        <v>0.13</v>
      </c>
      <c r="M17" s="65">
        <f>J23*L17+J24*L17+J25*L17+J26*L17+J27*L17+J28*L17+J29*L17</f>
        <v>4251.4142060000004</v>
      </c>
      <c r="N17" s="36"/>
      <c r="O17" s="39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</row>
    <row r="18" spans="1:35" s="25" customFormat="1" ht="12.75" hidden="1" customHeight="1" x14ac:dyDescent="0.2">
      <c r="A18" s="35"/>
      <c r="B18" s="97"/>
      <c r="C18" s="36"/>
      <c r="D18" s="36"/>
      <c r="E18" s="36"/>
      <c r="F18" s="36"/>
      <c r="G18" s="37"/>
      <c r="H18" s="38"/>
      <c r="I18" s="76"/>
      <c r="J18" s="76"/>
      <c r="K18" s="38"/>
      <c r="L18" s="40"/>
      <c r="M18" s="64"/>
      <c r="N18" s="36"/>
      <c r="O18" s="39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</row>
    <row r="19" spans="1:35" s="25" customFormat="1" ht="12.75" hidden="1" customHeight="1" x14ac:dyDescent="0.2">
      <c r="A19" s="35"/>
      <c r="B19" s="97"/>
      <c r="C19" s="36"/>
      <c r="D19" s="36"/>
      <c r="E19" s="36"/>
      <c r="F19" s="36"/>
      <c r="G19" s="37"/>
      <c r="H19" s="38"/>
      <c r="I19" s="76"/>
      <c r="J19" s="76"/>
      <c r="K19" s="38"/>
      <c r="L19" s="40"/>
      <c r="M19" s="64"/>
      <c r="N19" s="36"/>
      <c r="O19" s="39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</row>
    <row r="20" spans="1:35" hidden="1" x14ac:dyDescent="0.2">
      <c r="A20" s="1"/>
      <c r="B20" s="97"/>
      <c r="C20" s="12"/>
      <c r="D20" s="12"/>
      <c r="E20" s="30"/>
      <c r="F20" s="17"/>
      <c r="G20" s="11"/>
      <c r="H20" s="20"/>
      <c r="I20" s="77"/>
      <c r="J20" s="78"/>
      <c r="K20" s="20"/>
      <c r="L20" s="13">
        <v>0.31</v>
      </c>
      <c r="M20" s="65">
        <f>J12*L20</f>
        <v>97447.088618980008</v>
      </c>
      <c r="N20" s="10"/>
      <c r="O20" s="12"/>
    </row>
    <row r="21" spans="1:35" ht="15" hidden="1" customHeight="1" x14ac:dyDescent="0.25">
      <c r="A21" s="26"/>
      <c r="B21" s="98"/>
      <c r="C21" s="12"/>
      <c r="D21" s="12"/>
      <c r="E21" s="30"/>
      <c r="F21" s="17"/>
      <c r="G21" s="11"/>
      <c r="H21" s="20"/>
      <c r="I21" s="77"/>
      <c r="J21" s="78"/>
      <c r="K21" s="20"/>
      <c r="L21" s="13">
        <v>0.05</v>
      </c>
      <c r="M21" s="65">
        <f>J22*L21</f>
        <v>14082.096138640001</v>
      </c>
      <c r="N21" s="10"/>
      <c r="O21" s="12"/>
    </row>
    <row r="22" spans="1:35" ht="25.5" hidden="1" x14ac:dyDescent="0.2">
      <c r="A22" s="1"/>
      <c r="B22" s="6" t="s">
        <v>13</v>
      </c>
      <c r="C22" s="70">
        <v>269243.95</v>
      </c>
      <c r="D22" s="71">
        <v>186292.04</v>
      </c>
      <c r="E22" s="71">
        <f>C22-D22</f>
        <v>82951.91</v>
      </c>
      <c r="F22" s="72">
        <v>191881.32</v>
      </c>
      <c r="G22" s="11">
        <f>F22/D22*100</f>
        <v>103.00027848747591</v>
      </c>
      <c r="H22" s="45">
        <v>108.208</v>
      </c>
      <c r="I22" s="77">
        <f t="shared" ref="I22:I29" si="0">E22*H22%</f>
        <v>89760.602772800004</v>
      </c>
      <c r="J22" s="78">
        <f>F22+I22</f>
        <v>281641.92277280003</v>
      </c>
      <c r="K22" s="21">
        <f t="shared" ref="K22:K29" si="1">J22/C22*100</f>
        <v>104.60473588089909</v>
      </c>
      <c r="L22" s="13">
        <v>0.1</v>
      </c>
      <c r="M22" s="64">
        <f>J22*L22</f>
        <v>28164.192277280003</v>
      </c>
      <c r="N22" s="57">
        <v>2132908</v>
      </c>
      <c r="O22" s="12">
        <f t="shared" ref="O22:O30" si="2">J22/N22*100</f>
        <v>13.20459779666071</v>
      </c>
    </row>
    <row r="23" spans="1:35" hidden="1" x14ac:dyDescent="0.2">
      <c r="A23" s="1"/>
      <c r="B23" s="6" t="s">
        <v>4</v>
      </c>
      <c r="C23" s="70">
        <v>1093.08</v>
      </c>
      <c r="D23" s="71">
        <v>784.47</v>
      </c>
      <c r="E23" s="71">
        <f t="shared" ref="E23:E29" si="3">C23-D23</f>
        <v>308.6099999999999</v>
      </c>
      <c r="F23" s="72">
        <v>1339.3</v>
      </c>
      <c r="G23" s="11">
        <f t="shared" ref="G23:G29" si="4">F23/D23*100</f>
        <v>170.72673269850981</v>
      </c>
      <c r="H23" s="45">
        <v>112.24</v>
      </c>
      <c r="I23" s="77">
        <f t="shared" si="0"/>
        <v>346.38386399999985</v>
      </c>
      <c r="J23" s="78">
        <f t="shared" ref="J23:J29" si="5">F23+I23</f>
        <v>1685.6838639999999</v>
      </c>
      <c r="K23" s="21">
        <f t="shared" si="1"/>
        <v>154.21413473853698</v>
      </c>
      <c r="L23" s="13">
        <v>0.02</v>
      </c>
      <c r="M23" s="64">
        <f t="shared" ref="M23:M29" si="6">J23*L23</f>
        <v>33.713677279999999</v>
      </c>
      <c r="N23" s="57">
        <v>9284</v>
      </c>
      <c r="O23" s="12">
        <f t="shared" si="2"/>
        <v>18.156870573028865</v>
      </c>
    </row>
    <row r="24" spans="1:35" ht="14.25" hidden="1" customHeight="1" x14ac:dyDescent="0.2">
      <c r="A24" s="3"/>
      <c r="B24" s="3" t="s">
        <v>14</v>
      </c>
      <c r="C24" s="70">
        <v>3862.97</v>
      </c>
      <c r="D24" s="71">
        <v>2521.42</v>
      </c>
      <c r="E24" s="71">
        <f t="shared" si="3"/>
        <v>1341.5499999999997</v>
      </c>
      <c r="F24" s="72">
        <v>3437.8</v>
      </c>
      <c r="G24" s="11">
        <f t="shared" si="4"/>
        <v>136.34380626789667</v>
      </c>
      <c r="H24" s="45">
        <v>107.2</v>
      </c>
      <c r="I24" s="77">
        <f t="shared" si="0"/>
        <v>1438.1415999999997</v>
      </c>
      <c r="J24" s="78">
        <f t="shared" si="5"/>
        <v>4875.9416000000001</v>
      </c>
      <c r="K24" s="21">
        <f t="shared" si="1"/>
        <v>126.22261109974968</v>
      </c>
      <c r="L24" s="13">
        <v>0.02</v>
      </c>
      <c r="M24" s="64">
        <f t="shared" si="6"/>
        <v>97.518832000000003</v>
      </c>
      <c r="N24" s="59">
        <v>30290</v>
      </c>
      <c r="O24" s="12">
        <f t="shared" si="2"/>
        <v>16.097529217563551</v>
      </c>
    </row>
    <row r="25" spans="1:35" ht="12.75" hidden="1" customHeight="1" x14ac:dyDescent="0.2">
      <c r="A25" s="3"/>
      <c r="B25" s="3" t="s">
        <v>15</v>
      </c>
      <c r="C25" s="70">
        <v>4947.9799999999996</v>
      </c>
      <c r="D25" s="71">
        <v>3542.75</v>
      </c>
      <c r="E25" s="71">
        <f t="shared" si="3"/>
        <v>1405.2299999999996</v>
      </c>
      <c r="F25" s="72">
        <v>3946.7</v>
      </c>
      <c r="G25" s="11">
        <f t="shared" si="4"/>
        <v>111.40215933949615</v>
      </c>
      <c r="H25" s="45">
        <v>101.39</v>
      </c>
      <c r="I25" s="77">
        <f t="shared" si="0"/>
        <v>1424.7626969999997</v>
      </c>
      <c r="J25" s="78">
        <v>5371</v>
      </c>
      <c r="K25" s="21">
        <f t="shared" si="1"/>
        <v>108.54934741045842</v>
      </c>
      <c r="L25" s="13">
        <v>0.02</v>
      </c>
      <c r="M25" s="64">
        <f t="shared" si="6"/>
        <v>107.42</v>
      </c>
      <c r="N25" s="59">
        <v>38546</v>
      </c>
      <c r="O25" s="12">
        <f t="shared" si="2"/>
        <v>13.934000933949047</v>
      </c>
    </row>
    <row r="26" spans="1:35" hidden="1" x14ac:dyDescent="0.2">
      <c r="A26" s="3"/>
      <c r="B26" s="41" t="s">
        <v>16</v>
      </c>
      <c r="C26" s="73">
        <v>4049.18</v>
      </c>
      <c r="D26" s="74">
        <v>3627.43</v>
      </c>
      <c r="E26" s="71">
        <f t="shared" si="3"/>
        <v>421.75</v>
      </c>
      <c r="F26" s="72">
        <v>2730.57</v>
      </c>
      <c r="G26" s="11">
        <f t="shared" si="4"/>
        <v>75.275608350815872</v>
      </c>
      <c r="H26" s="45">
        <v>106.2</v>
      </c>
      <c r="I26" s="77">
        <f t="shared" si="0"/>
        <v>447.89850000000001</v>
      </c>
      <c r="J26" s="78">
        <v>3179</v>
      </c>
      <c r="K26" s="43">
        <f t="shared" si="1"/>
        <v>78.509722956252872</v>
      </c>
      <c r="L26" s="13">
        <v>0.02</v>
      </c>
      <c r="M26" s="64">
        <f t="shared" si="6"/>
        <v>63.58</v>
      </c>
      <c r="N26" s="60">
        <v>31677</v>
      </c>
      <c r="O26" s="39">
        <f t="shared" si="2"/>
        <v>10.035672570003474</v>
      </c>
    </row>
    <row r="27" spans="1:35" hidden="1" x14ac:dyDescent="0.2">
      <c r="A27" s="3"/>
      <c r="B27" s="41" t="s">
        <v>17</v>
      </c>
      <c r="C27" s="73">
        <v>6013.98</v>
      </c>
      <c r="D27" s="74">
        <v>4079.15</v>
      </c>
      <c r="E27" s="71">
        <f t="shared" si="3"/>
        <v>1934.8299999999995</v>
      </c>
      <c r="F27" s="72">
        <v>4467.68</v>
      </c>
      <c r="G27" s="11">
        <f t="shared" si="4"/>
        <v>109.52477844649009</v>
      </c>
      <c r="H27" s="45">
        <v>109.04</v>
      </c>
      <c r="I27" s="77">
        <f t="shared" si="0"/>
        <v>2109.7386319999996</v>
      </c>
      <c r="J27" s="78">
        <f t="shared" si="5"/>
        <v>6577.4186319999999</v>
      </c>
      <c r="K27" s="21">
        <f t="shared" si="1"/>
        <v>109.36881452881453</v>
      </c>
      <c r="L27" s="13">
        <v>0.02</v>
      </c>
      <c r="M27" s="64">
        <f t="shared" si="6"/>
        <v>131.54837264</v>
      </c>
      <c r="N27" s="60">
        <v>46575</v>
      </c>
      <c r="O27" s="39">
        <f t="shared" si="2"/>
        <v>14.1222085496511</v>
      </c>
    </row>
    <row r="28" spans="1:35" hidden="1" x14ac:dyDescent="0.2">
      <c r="A28" s="1"/>
      <c r="B28" s="42" t="s">
        <v>18</v>
      </c>
      <c r="C28" s="73">
        <v>4043.42</v>
      </c>
      <c r="D28" s="74">
        <v>2504.5700000000002</v>
      </c>
      <c r="E28" s="71">
        <f t="shared" si="3"/>
        <v>1538.85</v>
      </c>
      <c r="F28" s="72">
        <v>3093.29</v>
      </c>
      <c r="G28" s="11">
        <f t="shared" si="4"/>
        <v>123.5058313403099</v>
      </c>
      <c r="H28" s="45">
        <v>103.1</v>
      </c>
      <c r="I28" s="77">
        <f t="shared" si="0"/>
        <v>1586.5543499999999</v>
      </c>
      <c r="J28" s="78">
        <f>F28+I28</f>
        <v>4679.8443499999994</v>
      </c>
      <c r="K28" s="21">
        <f t="shared" si="1"/>
        <v>115.73975372333321</v>
      </c>
      <c r="L28" s="13">
        <v>0.02</v>
      </c>
      <c r="M28" s="64">
        <f t="shared" si="6"/>
        <v>93.596886999999995</v>
      </c>
      <c r="N28" s="61">
        <v>31723</v>
      </c>
      <c r="O28" s="39">
        <f t="shared" si="2"/>
        <v>14.752212432619864</v>
      </c>
    </row>
    <row r="29" spans="1:35" ht="24.75" customHeight="1" x14ac:dyDescent="0.2">
      <c r="A29" s="1"/>
      <c r="B29" s="42" t="s">
        <v>19</v>
      </c>
      <c r="C29" s="73">
        <v>5036.17</v>
      </c>
      <c r="D29" s="74">
        <v>3408.28</v>
      </c>
      <c r="E29" s="71">
        <f t="shared" si="3"/>
        <v>1627.8899999999999</v>
      </c>
      <c r="F29" s="72">
        <v>4513.34</v>
      </c>
      <c r="G29" s="11">
        <f t="shared" si="4"/>
        <v>132.42280563803445</v>
      </c>
      <c r="H29" s="45">
        <v>111.86</v>
      </c>
      <c r="I29" s="77">
        <f t="shared" si="0"/>
        <v>1820.957754</v>
      </c>
      <c r="J29" s="78">
        <f t="shared" si="5"/>
        <v>6334.2977540000002</v>
      </c>
      <c r="K29" s="21">
        <f t="shared" si="1"/>
        <v>125.7760908388716</v>
      </c>
      <c r="L29" s="13">
        <v>0.02</v>
      </c>
      <c r="M29" s="64">
        <f t="shared" si="6"/>
        <v>126.68595508</v>
      </c>
      <c r="N29" s="61">
        <v>38997</v>
      </c>
      <c r="O29" s="39">
        <f t="shared" si="2"/>
        <v>16.243038577326459</v>
      </c>
    </row>
    <row r="30" spans="1:35" hidden="1" x14ac:dyDescent="0.2">
      <c r="H30" s="44"/>
      <c r="I30" s="66">
        <f>SUM(I23:I29)</f>
        <v>9174.4373969999979</v>
      </c>
      <c r="J30" s="66">
        <f>SUM(J23:J29)</f>
        <v>32703.1862</v>
      </c>
      <c r="K30" s="28"/>
      <c r="M30" s="66">
        <f>SUM(M23:M29)</f>
        <v>654.06372399999998</v>
      </c>
      <c r="N30" s="28"/>
      <c r="O30" s="39" t="e">
        <f t="shared" si="2"/>
        <v>#DIV/0!</v>
      </c>
    </row>
    <row r="31" spans="1:35" hidden="1" x14ac:dyDescent="0.2">
      <c r="E31" s="29"/>
      <c r="F31" s="29"/>
      <c r="G31" s="29"/>
      <c r="H31" s="29"/>
      <c r="M31" s="66"/>
    </row>
    <row r="32" spans="1:35" hidden="1" x14ac:dyDescent="0.2">
      <c r="A32" s="31"/>
      <c r="B32" s="31"/>
      <c r="C32" s="31"/>
      <c r="D32" s="31"/>
      <c r="E32" s="32"/>
      <c r="F32" s="33"/>
      <c r="G32" s="31" t="s">
        <v>44</v>
      </c>
      <c r="H32" s="31"/>
      <c r="I32" s="31"/>
      <c r="J32" s="34">
        <v>314341</v>
      </c>
      <c r="K32" s="31"/>
      <c r="L32" s="31"/>
      <c r="M32" s="67"/>
      <c r="N32" s="34">
        <v>2360000</v>
      </c>
      <c r="O32" s="31"/>
    </row>
    <row r="33" spans="2:14" hidden="1" x14ac:dyDescent="0.2">
      <c r="E33" s="28"/>
      <c r="I33" s="66">
        <f>SUM(I22:I29)</f>
        <v>98935.040169800006</v>
      </c>
      <c r="J33" s="66">
        <f>SUM(J22:J29)</f>
        <v>314345.10897280002</v>
      </c>
      <c r="M33" s="66">
        <f>SUM(M22:M29)</f>
        <v>28818.256001280006</v>
      </c>
    </row>
    <row r="34" spans="2:14" ht="18.75" customHeight="1" x14ac:dyDescent="0.2"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>
        <f>J30*L17</f>
        <v>4251.4142060000004</v>
      </c>
    </row>
    <row r="35" spans="2:14" ht="41.25" customHeight="1" x14ac:dyDescent="0.2"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</row>
    <row r="37" spans="2:14" x14ac:dyDescent="0.2">
      <c r="M37" s="66">
        <f>SUM(M22:M29)</f>
        <v>28818.256001280006</v>
      </c>
    </row>
  </sheetData>
  <mergeCells count="19">
    <mergeCell ref="O6:O10"/>
    <mergeCell ref="N6:N10"/>
    <mergeCell ref="J6:J10"/>
    <mergeCell ref="K6:K10"/>
    <mergeCell ref="L6:M7"/>
    <mergeCell ref="L8:L10"/>
    <mergeCell ref="M8:M10"/>
    <mergeCell ref="B34:M35"/>
    <mergeCell ref="A2:J3"/>
    <mergeCell ref="A6:A10"/>
    <mergeCell ref="B6:B10"/>
    <mergeCell ref="D6:D10"/>
    <mergeCell ref="E6:E10"/>
    <mergeCell ref="F6:F10"/>
    <mergeCell ref="G6:G10"/>
    <mergeCell ref="I6:I10"/>
    <mergeCell ref="B16:B21"/>
    <mergeCell ref="H6:H10"/>
    <mergeCell ref="C6:C10"/>
  </mergeCells>
  <phoneticPr fontId="2" type="noConversion"/>
  <pageMargins left="0.35433070866141736" right="0.35433070866141736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view="pageBreakPreview" zoomScale="90" zoomScaleNormal="100" zoomScaleSheetLayoutView="90" workbookViewId="0">
      <selection activeCell="A27" sqref="A27:XFD27"/>
    </sheetView>
  </sheetViews>
  <sheetFormatPr defaultRowHeight="12.75" x14ac:dyDescent="0.2"/>
  <cols>
    <col min="1" max="1" width="21.7109375" customWidth="1"/>
    <col min="2" max="3" width="13.140625" customWidth="1"/>
    <col min="4" max="4" width="10" customWidth="1"/>
    <col min="5" max="5" width="13.140625" customWidth="1"/>
    <col min="6" max="6" width="10.7109375" customWidth="1"/>
    <col min="7" max="7" width="14.42578125" customWidth="1"/>
    <col min="8" max="8" width="13.28515625" customWidth="1"/>
    <col min="9" max="9" width="11.7109375" customWidth="1"/>
    <col min="10" max="10" width="12.85546875" customWidth="1"/>
  </cols>
  <sheetData>
    <row r="1" spans="1:11" x14ac:dyDescent="0.2">
      <c r="A1" s="123" t="s">
        <v>23</v>
      </c>
      <c r="B1" s="123"/>
      <c r="C1" s="123"/>
      <c r="D1" s="123"/>
      <c r="E1" s="123"/>
      <c r="F1" s="123"/>
      <c r="G1" s="123"/>
    </row>
    <row r="2" spans="1:11" x14ac:dyDescent="0.2">
      <c r="A2" s="123"/>
      <c r="B2" s="123"/>
      <c r="C2" s="123"/>
      <c r="D2" s="123"/>
      <c r="E2" s="123"/>
      <c r="F2" s="123"/>
      <c r="G2" s="123"/>
    </row>
    <row r="3" spans="1:11" x14ac:dyDescent="0.2">
      <c r="A3" s="123"/>
      <c r="B3" s="123"/>
      <c r="C3" s="123"/>
      <c r="D3" s="123"/>
      <c r="E3" s="123"/>
      <c r="F3" s="123"/>
      <c r="G3" s="123"/>
    </row>
    <row r="4" spans="1:11" x14ac:dyDescent="0.2">
      <c r="A4" s="123"/>
      <c r="B4" s="123"/>
      <c r="C4" s="123"/>
      <c r="D4" s="123"/>
      <c r="E4" s="123"/>
      <c r="F4" s="123"/>
      <c r="G4" s="123"/>
    </row>
    <row r="5" spans="1:11" ht="13.5" thickBot="1" x14ac:dyDescent="0.25">
      <c r="H5" s="124" t="s">
        <v>24</v>
      </c>
      <c r="I5" s="124"/>
    </row>
    <row r="6" spans="1:11" ht="15.75" customHeight="1" x14ac:dyDescent="0.2">
      <c r="A6" s="125" t="s">
        <v>0</v>
      </c>
      <c r="B6" s="125" t="s">
        <v>50</v>
      </c>
      <c r="C6" s="125" t="s">
        <v>51</v>
      </c>
      <c r="D6" s="125" t="s">
        <v>25</v>
      </c>
      <c r="E6" s="125" t="s">
        <v>26</v>
      </c>
      <c r="F6" s="125" t="s">
        <v>52</v>
      </c>
      <c r="G6" s="129" t="s">
        <v>53</v>
      </c>
      <c r="H6" s="125" t="s">
        <v>27</v>
      </c>
      <c r="I6" s="118" t="s">
        <v>28</v>
      </c>
      <c r="J6" s="119"/>
      <c r="K6" s="122" t="s">
        <v>20</v>
      </c>
    </row>
    <row r="7" spans="1:11" ht="16.5" customHeight="1" thickBot="1" x14ac:dyDescent="0.25">
      <c r="A7" s="126"/>
      <c r="B7" s="126"/>
      <c r="C7" s="126"/>
      <c r="D7" s="126"/>
      <c r="E7" s="126"/>
      <c r="F7" s="126"/>
      <c r="G7" s="130"/>
      <c r="H7" s="132"/>
      <c r="I7" s="120"/>
      <c r="J7" s="121"/>
      <c r="K7" s="122"/>
    </row>
    <row r="8" spans="1:11" ht="134.25" customHeight="1" thickBot="1" x14ac:dyDescent="0.25">
      <c r="A8" s="127"/>
      <c r="B8" s="128"/>
      <c r="C8" s="128"/>
      <c r="D8" s="128"/>
      <c r="E8" s="128"/>
      <c r="F8" s="128"/>
      <c r="G8" s="131"/>
      <c r="H8" s="133"/>
      <c r="I8" s="47" t="s">
        <v>3</v>
      </c>
      <c r="J8" s="48" t="s">
        <v>2</v>
      </c>
      <c r="K8" s="122"/>
    </row>
    <row r="9" spans="1:11" ht="15.75" x14ac:dyDescent="0.2">
      <c r="A9" s="49">
        <v>2</v>
      </c>
      <c r="B9" s="49">
        <v>3</v>
      </c>
      <c r="C9" s="49">
        <v>4</v>
      </c>
      <c r="D9" s="49">
        <v>5</v>
      </c>
      <c r="E9" s="49">
        <v>6</v>
      </c>
      <c r="F9" s="49">
        <v>7</v>
      </c>
      <c r="G9" s="49">
        <v>8</v>
      </c>
      <c r="H9" s="49">
        <v>9</v>
      </c>
      <c r="I9" s="49">
        <v>10</v>
      </c>
      <c r="J9" s="50">
        <v>11</v>
      </c>
      <c r="K9" s="51">
        <v>12</v>
      </c>
    </row>
    <row r="10" spans="1:11" ht="15.75" hidden="1" x14ac:dyDescent="0.25">
      <c r="A10" s="1" t="s">
        <v>29</v>
      </c>
      <c r="B10" s="79">
        <f>SUM(B17:B24)</f>
        <v>2270000</v>
      </c>
      <c r="C10" s="79">
        <f>SUM(C17:C24)</f>
        <v>2360000</v>
      </c>
      <c r="D10" s="53">
        <f>(C10/B10)*100</f>
        <v>103.9647577092511</v>
      </c>
      <c r="E10" s="79">
        <f>SUM(E17:E24)</f>
        <v>2515000</v>
      </c>
      <c r="F10" s="54">
        <f>E10/C10</f>
        <v>1.0656779661016949</v>
      </c>
      <c r="G10" s="81">
        <v>314345</v>
      </c>
      <c r="H10" s="69">
        <f>G10*F10</f>
        <v>334990.54025423725</v>
      </c>
      <c r="I10" s="55">
        <v>0.46</v>
      </c>
      <c r="J10" s="68">
        <f>H10*I10</f>
        <v>154095.64851694915</v>
      </c>
      <c r="K10" s="56">
        <f>H10/E10*100</f>
        <v>13.319703389830506</v>
      </c>
    </row>
    <row r="11" spans="1:11" ht="15.75" hidden="1" x14ac:dyDescent="0.25">
      <c r="A11" s="1"/>
      <c r="B11" s="79"/>
      <c r="C11" s="79"/>
      <c r="D11" s="53"/>
      <c r="E11" s="79"/>
      <c r="F11" s="54"/>
      <c r="G11" s="81"/>
      <c r="H11" s="69"/>
      <c r="I11" s="55" t="s">
        <v>22</v>
      </c>
      <c r="J11" s="68">
        <f>SUM(J13:J15)</f>
        <v>123361.5985061322</v>
      </c>
      <c r="K11" s="56"/>
    </row>
    <row r="12" spans="1:11" ht="15.75" hidden="1" x14ac:dyDescent="0.25">
      <c r="A12" s="1"/>
      <c r="B12" s="79"/>
      <c r="C12" s="79"/>
      <c r="D12" s="53"/>
      <c r="E12" s="79"/>
      <c r="F12" s="54"/>
      <c r="G12" s="81"/>
      <c r="H12" s="69"/>
      <c r="I12" s="55" t="s">
        <v>76</v>
      </c>
      <c r="J12" s="68">
        <v>312</v>
      </c>
      <c r="K12" s="56"/>
    </row>
    <row r="13" spans="1:11" ht="15.75" hidden="1" x14ac:dyDescent="0.25">
      <c r="A13" s="1"/>
      <c r="B13" s="79"/>
      <c r="C13" s="79"/>
      <c r="D13" s="53"/>
      <c r="E13" s="79"/>
      <c r="F13" s="54"/>
      <c r="G13" s="81"/>
      <c r="H13" s="69"/>
      <c r="I13" s="55">
        <v>0.31</v>
      </c>
      <c r="J13" s="68">
        <f>H10*I13</f>
        <v>103847.06747881355</v>
      </c>
      <c r="K13" s="56"/>
    </row>
    <row r="14" spans="1:11" ht="15.75" hidden="1" x14ac:dyDescent="0.25">
      <c r="A14" s="1"/>
      <c r="B14" s="79"/>
      <c r="C14" s="79"/>
      <c r="D14" s="53"/>
      <c r="E14" s="79"/>
      <c r="F14" s="54"/>
      <c r="G14" s="81"/>
      <c r="H14" s="69"/>
      <c r="I14" s="55">
        <v>0.05</v>
      </c>
      <c r="J14" s="68">
        <f>H17*I14</f>
        <v>15012.300000000001</v>
      </c>
      <c r="K14" s="56"/>
    </row>
    <row r="15" spans="1:11" ht="15.75" hidden="1" x14ac:dyDescent="0.25">
      <c r="A15" s="1"/>
      <c r="B15" s="79"/>
      <c r="C15" s="79"/>
      <c r="D15" s="53"/>
      <c r="E15" s="79"/>
      <c r="F15" s="54"/>
      <c r="G15" s="81"/>
      <c r="H15" s="69"/>
      <c r="I15" s="55">
        <v>0.13</v>
      </c>
      <c r="J15" s="68">
        <f>H25*I15</f>
        <v>4502.2310273186395</v>
      </c>
      <c r="K15" s="56"/>
    </row>
    <row r="16" spans="1:11" ht="15.75" hidden="1" x14ac:dyDescent="0.25">
      <c r="A16" s="1"/>
      <c r="B16" s="79"/>
      <c r="C16" s="79"/>
      <c r="D16" s="53"/>
      <c r="E16" s="79"/>
      <c r="F16" s="54"/>
      <c r="G16" s="81"/>
      <c r="H16" s="69"/>
      <c r="I16" s="55" t="s">
        <v>30</v>
      </c>
      <c r="J16" s="68">
        <f>SUM(J17:J24)</f>
        <v>30720</v>
      </c>
      <c r="K16" s="56"/>
    </row>
    <row r="17" spans="1:11" hidden="1" x14ac:dyDescent="0.2">
      <c r="A17" s="1" t="s">
        <v>31</v>
      </c>
      <c r="B17" s="79">
        <v>2056161</v>
      </c>
      <c r="C17" s="80">
        <f>'ожид 2019 в фу'!N22</f>
        <v>2132908</v>
      </c>
      <c r="D17" s="53">
        <f>(C17/B17)*100</f>
        <v>103.73253845394403</v>
      </c>
      <c r="E17" s="79">
        <v>2274509</v>
      </c>
      <c r="F17" s="54">
        <v>1.0664</v>
      </c>
      <c r="G17" s="81">
        <v>281642</v>
      </c>
      <c r="H17" s="69">
        <v>300246</v>
      </c>
      <c r="I17" s="55">
        <v>0.1</v>
      </c>
      <c r="J17" s="69">
        <v>30026</v>
      </c>
      <c r="K17" s="58">
        <f t="shared" ref="K17:K25" si="0">H17/E17*100</f>
        <v>13.200475355340426</v>
      </c>
    </row>
    <row r="18" spans="1:11" hidden="1" x14ac:dyDescent="0.2">
      <c r="A18" s="1" t="s">
        <v>32</v>
      </c>
      <c r="B18" s="79">
        <v>8742</v>
      </c>
      <c r="C18" s="80">
        <f>'ожид 2019 в фу'!N23</f>
        <v>9284</v>
      </c>
      <c r="D18" s="53">
        <f t="shared" ref="D18:D24" si="1">(C18/B18)*100</f>
        <v>106.19995424388011</v>
      </c>
      <c r="E18" s="79">
        <v>9832</v>
      </c>
      <c r="F18" s="54">
        <f>E18/C18</f>
        <v>1.0590262817750968</v>
      </c>
      <c r="G18" s="81">
        <v>1686</v>
      </c>
      <c r="H18" s="69">
        <f t="shared" ref="H18:H24" si="2">G18*F18</f>
        <v>1785.5183110728133</v>
      </c>
      <c r="I18" s="55">
        <v>0.02</v>
      </c>
      <c r="J18" s="69">
        <v>36</v>
      </c>
      <c r="K18" s="58">
        <f t="shared" si="0"/>
        <v>18.160275743214129</v>
      </c>
    </row>
    <row r="19" spans="1:11" hidden="1" x14ac:dyDescent="0.2">
      <c r="A19" s="1" t="s">
        <v>33</v>
      </c>
      <c r="B19" s="79">
        <v>28522</v>
      </c>
      <c r="C19" s="80">
        <f>'ожид 2019 в фу'!N24</f>
        <v>30290</v>
      </c>
      <c r="D19" s="53">
        <f t="shared" si="1"/>
        <v>106.19872379216045</v>
      </c>
      <c r="E19" s="79">
        <v>32077</v>
      </c>
      <c r="F19" s="54">
        <f t="shared" ref="F19:F24" si="3">E19/C19</f>
        <v>1.0589963684384285</v>
      </c>
      <c r="G19" s="81">
        <v>4876</v>
      </c>
      <c r="H19" s="69">
        <f t="shared" si="2"/>
        <v>5163.6662925057772</v>
      </c>
      <c r="I19" s="55">
        <v>0.02</v>
      </c>
      <c r="J19" s="69">
        <v>103</v>
      </c>
      <c r="K19" s="58">
        <f t="shared" si="0"/>
        <v>16.097722020468801</v>
      </c>
    </row>
    <row r="20" spans="1:11" hidden="1" x14ac:dyDescent="0.2">
      <c r="A20" s="1" t="s">
        <v>34</v>
      </c>
      <c r="B20" s="79">
        <v>36296</v>
      </c>
      <c r="C20" s="80">
        <f>'ожид 2019 в фу'!N25</f>
        <v>38546</v>
      </c>
      <c r="D20" s="53">
        <f t="shared" si="1"/>
        <v>106.19903019616486</v>
      </c>
      <c r="E20" s="79">
        <v>40821</v>
      </c>
      <c r="F20" s="54">
        <f t="shared" si="3"/>
        <v>1.0590203912208789</v>
      </c>
      <c r="G20" s="81">
        <v>5371</v>
      </c>
      <c r="H20" s="69">
        <f t="shared" si="2"/>
        <v>5687.9985212473402</v>
      </c>
      <c r="I20" s="55">
        <v>0.02</v>
      </c>
      <c r="J20" s="69">
        <v>114</v>
      </c>
      <c r="K20" s="58">
        <f t="shared" si="0"/>
        <v>13.934000933949047</v>
      </c>
    </row>
    <row r="21" spans="1:11" hidden="1" x14ac:dyDescent="0.2">
      <c r="A21" s="1" t="s">
        <v>35</v>
      </c>
      <c r="B21" s="79">
        <v>29828</v>
      </c>
      <c r="C21" s="80">
        <f>'ожид 2019 в фу'!N26</f>
        <v>31677</v>
      </c>
      <c r="D21" s="53">
        <f t="shared" si="1"/>
        <v>106.19887354163873</v>
      </c>
      <c r="E21" s="79">
        <v>33546</v>
      </c>
      <c r="F21" s="54">
        <f t="shared" si="3"/>
        <v>1.0590017994128231</v>
      </c>
      <c r="G21" s="81">
        <v>3179</v>
      </c>
      <c r="H21" s="69">
        <f t="shared" si="2"/>
        <v>3366.5667203333646</v>
      </c>
      <c r="I21" s="55">
        <v>0.02</v>
      </c>
      <c r="J21" s="69">
        <v>67</v>
      </c>
      <c r="K21" s="58">
        <f t="shared" si="0"/>
        <v>10.035672570003472</v>
      </c>
    </row>
    <row r="22" spans="1:11" hidden="1" x14ac:dyDescent="0.2">
      <c r="A22" s="1" t="s">
        <v>36</v>
      </c>
      <c r="B22" s="79">
        <v>43860</v>
      </c>
      <c r="C22" s="80">
        <f>'ожид 2019 в фу'!N27</f>
        <v>46575</v>
      </c>
      <c r="D22" s="53">
        <f t="shared" si="1"/>
        <v>106.19015047879617</v>
      </c>
      <c r="E22" s="79">
        <v>49323</v>
      </c>
      <c r="F22" s="54">
        <f t="shared" si="3"/>
        <v>1.0590016103059581</v>
      </c>
      <c r="G22" s="81">
        <v>6577</v>
      </c>
      <c r="H22" s="69">
        <f t="shared" si="2"/>
        <v>6965.0535909822866</v>
      </c>
      <c r="I22" s="55">
        <v>0.02</v>
      </c>
      <c r="J22" s="69">
        <v>139</v>
      </c>
      <c r="K22" s="58">
        <f t="shared" si="0"/>
        <v>14.121309715512615</v>
      </c>
    </row>
    <row r="23" spans="1:11" hidden="1" x14ac:dyDescent="0.2">
      <c r="A23" s="1" t="s">
        <v>37</v>
      </c>
      <c r="B23" s="79">
        <v>29871</v>
      </c>
      <c r="C23" s="80">
        <f>'ожид 2019 в фу'!N28</f>
        <v>31723</v>
      </c>
      <c r="D23" s="53">
        <f t="shared" si="1"/>
        <v>106.19999330454286</v>
      </c>
      <c r="E23" s="79">
        <v>33595</v>
      </c>
      <c r="F23" s="54">
        <f t="shared" si="3"/>
        <v>1.0590108123443558</v>
      </c>
      <c r="G23" s="81">
        <v>4680</v>
      </c>
      <c r="H23" s="69">
        <f t="shared" si="2"/>
        <v>4956.1706017715851</v>
      </c>
      <c r="I23" s="55">
        <v>0.02</v>
      </c>
      <c r="J23" s="69">
        <v>101</v>
      </c>
      <c r="K23" s="58">
        <f t="shared" si="0"/>
        <v>14.752703086088955</v>
      </c>
    </row>
    <row r="24" spans="1:11" ht="43.5" customHeight="1" x14ac:dyDescent="0.2">
      <c r="A24" s="1" t="s">
        <v>38</v>
      </c>
      <c r="B24" s="79">
        <v>36720</v>
      </c>
      <c r="C24" s="80">
        <f>'ожид 2019 в фу'!N29</f>
        <v>38997</v>
      </c>
      <c r="D24" s="53">
        <f t="shared" si="1"/>
        <v>106.20098039215686</v>
      </c>
      <c r="E24" s="79">
        <v>41297</v>
      </c>
      <c r="F24" s="54">
        <f t="shared" si="3"/>
        <v>1.0589788958124984</v>
      </c>
      <c r="G24" s="81">
        <v>6334</v>
      </c>
      <c r="H24" s="69">
        <f t="shared" si="2"/>
        <v>6707.5723260763643</v>
      </c>
      <c r="I24" s="55">
        <v>0.02</v>
      </c>
      <c r="J24" s="69">
        <v>134</v>
      </c>
      <c r="K24" s="58">
        <f t="shared" si="0"/>
        <v>16.242275046798472</v>
      </c>
    </row>
    <row r="25" spans="1:11" hidden="1" x14ac:dyDescent="0.2">
      <c r="E25" s="62">
        <f>SUM(E18:E24)</f>
        <v>240491</v>
      </c>
      <c r="G25" s="66">
        <f>SUM(G17:G24)</f>
        <v>314345</v>
      </c>
      <c r="H25" s="66">
        <f>SUM(H18:H24)</f>
        <v>34632.546363989532</v>
      </c>
      <c r="I25" s="28"/>
      <c r="J25" s="66">
        <f t="shared" ref="J25" si="4">SUM(J18:J24)</f>
        <v>694</v>
      </c>
      <c r="K25" s="58">
        <f t="shared" si="0"/>
        <v>14.400766084381342</v>
      </c>
    </row>
    <row r="26" spans="1:11" hidden="1" x14ac:dyDescent="0.2">
      <c r="A26" s="31" t="s">
        <v>44</v>
      </c>
      <c r="B26" s="31"/>
      <c r="C26" s="31"/>
      <c r="D26" s="31"/>
      <c r="E26" s="63">
        <v>2515000</v>
      </c>
      <c r="H26" s="66"/>
    </row>
    <row r="27" spans="1:11" hidden="1" x14ac:dyDescent="0.2">
      <c r="H27" s="66">
        <f>SUM(H17:H24)</f>
        <v>334878.54636398959</v>
      </c>
      <c r="J27" s="66">
        <f>J11+J16</f>
        <v>154081.5985061322</v>
      </c>
    </row>
  </sheetData>
  <mergeCells count="12">
    <mergeCell ref="I6:J7"/>
    <mergeCell ref="K6:K8"/>
    <mergeCell ref="A1:G4"/>
    <mergeCell ref="H5:I5"/>
    <mergeCell ref="A6:A8"/>
    <mergeCell ref="B6:B8"/>
    <mergeCell ref="C6:C8"/>
    <mergeCell ref="D6:D8"/>
    <mergeCell ref="E6:E8"/>
    <mergeCell ref="F6:F8"/>
    <mergeCell ref="G6:G8"/>
    <mergeCell ref="H6:H8"/>
  </mergeCells>
  <pageMargins left="0.31496062992125984" right="0.31496062992125984" top="0.94488188976377963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BreakPreview" zoomScaleNormal="100" zoomScaleSheetLayoutView="100" workbookViewId="0">
      <selection activeCell="A27" sqref="A27:XFD27"/>
    </sheetView>
  </sheetViews>
  <sheetFormatPr defaultRowHeight="12.75" x14ac:dyDescent="0.2"/>
  <cols>
    <col min="1" max="1" width="23.7109375" customWidth="1"/>
    <col min="2" max="2" width="12.28515625" customWidth="1"/>
    <col min="3" max="3" width="13.140625" customWidth="1"/>
    <col min="4" max="4" width="12.28515625" customWidth="1"/>
    <col min="5" max="5" width="12" customWidth="1"/>
    <col min="6" max="6" width="10.85546875" customWidth="1"/>
    <col min="7" max="7" width="11.28515625" customWidth="1"/>
    <col min="8" max="8" width="14" customWidth="1"/>
    <col min="9" max="9" width="12.28515625" customWidth="1"/>
    <col min="10" max="10" width="13" customWidth="1"/>
  </cols>
  <sheetData>
    <row r="1" spans="1:12" x14ac:dyDescent="0.2">
      <c r="A1" s="123" t="s">
        <v>39</v>
      </c>
      <c r="B1" s="123"/>
      <c r="C1" s="123"/>
      <c r="D1" s="123"/>
      <c r="E1" s="123"/>
      <c r="F1" s="123"/>
      <c r="G1" s="123"/>
    </row>
    <row r="2" spans="1:12" x14ac:dyDescent="0.2">
      <c r="A2" s="123"/>
      <c r="B2" s="123"/>
      <c r="C2" s="123"/>
      <c r="D2" s="123"/>
      <c r="E2" s="123"/>
      <c r="F2" s="123"/>
      <c r="G2" s="123"/>
    </row>
    <row r="3" spans="1:12" x14ac:dyDescent="0.2">
      <c r="A3" s="123"/>
      <c r="B3" s="123"/>
      <c r="C3" s="123"/>
      <c r="D3" s="123"/>
      <c r="E3" s="123"/>
      <c r="F3" s="123"/>
      <c r="G3" s="123"/>
    </row>
    <row r="4" spans="1:12" x14ac:dyDescent="0.2">
      <c r="A4" s="123"/>
      <c r="B4" s="123"/>
      <c r="C4" s="123"/>
      <c r="D4" s="123"/>
      <c r="E4" s="123"/>
      <c r="F4" s="123"/>
      <c r="G4" s="123"/>
    </row>
    <row r="5" spans="1:12" ht="13.5" thickBot="1" x14ac:dyDescent="0.25">
      <c r="H5" s="124" t="s">
        <v>24</v>
      </c>
      <c r="I5" s="124"/>
    </row>
    <row r="6" spans="1:12" x14ac:dyDescent="0.2">
      <c r="A6" s="125" t="s">
        <v>0</v>
      </c>
      <c r="B6" s="125" t="s">
        <v>54</v>
      </c>
      <c r="C6" s="125" t="s">
        <v>40</v>
      </c>
      <c r="D6" s="125" t="s">
        <v>55</v>
      </c>
      <c r="E6" s="125" t="s">
        <v>41</v>
      </c>
      <c r="F6" s="125" t="s">
        <v>42</v>
      </c>
      <c r="G6" s="129" t="s">
        <v>56</v>
      </c>
      <c r="H6" s="134" t="s">
        <v>43</v>
      </c>
      <c r="I6" s="118" t="s">
        <v>28</v>
      </c>
      <c r="J6" s="119"/>
      <c r="K6" s="122" t="s">
        <v>20</v>
      </c>
    </row>
    <row r="7" spans="1:12" ht="13.5" thickBot="1" x14ac:dyDescent="0.25">
      <c r="A7" s="126"/>
      <c r="B7" s="126"/>
      <c r="C7" s="126"/>
      <c r="D7" s="126"/>
      <c r="E7" s="126"/>
      <c r="F7" s="126"/>
      <c r="G7" s="130"/>
      <c r="H7" s="135"/>
      <c r="I7" s="120"/>
      <c r="J7" s="121"/>
      <c r="K7" s="122"/>
    </row>
    <row r="8" spans="1:12" ht="142.5" customHeight="1" thickBot="1" x14ac:dyDescent="0.25">
      <c r="A8" s="127"/>
      <c r="B8" s="128"/>
      <c r="C8" s="128"/>
      <c r="D8" s="128"/>
      <c r="E8" s="128"/>
      <c r="F8" s="128"/>
      <c r="G8" s="131"/>
      <c r="H8" s="136"/>
      <c r="I8" s="47" t="s">
        <v>3</v>
      </c>
      <c r="J8" s="48" t="s">
        <v>2</v>
      </c>
      <c r="K8" s="122"/>
    </row>
    <row r="9" spans="1:12" ht="15.75" x14ac:dyDescent="0.2">
      <c r="A9" s="49">
        <v>2</v>
      </c>
      <c r="B9" s="49">
        <v>3</v>
      </c>
      <c r="C9" s="49">
        <v>4</v>
      </c>
      <c r="D9" s="49">
        <v>5</v>
      </c>
      <c r="E9" s="49">
        <v>6</v>
      </c>
      <c r="F9" s="49">
        <v>7</v>
      </c>
      <c r="G9" s="49">
        <v>8</v>
      </c>
      <c r="H9" s="49">
        <v>9</v>
      </c>
      <c r="I9" s="49">
        <v>10</v>
      </c>
      <c r="J9" s="50">
        <v>11</v>
      </c>
      <c r="K9" s="51">
        <v>12</v>
      </c>
    </row>
    <row r="10" spans="1:12" ht="15.75" hidden="1" x14ac:dyDescent="0.25">
      <c r="A10" s="1" t="s">
        <v>29</v>
      </c>
      <c r="B10" s="79">
        <f>SUM(B17:B24)</f>
        <v>2360000</v>
      </c>
      <c r="C10" s="79">
        <f>SUM(C17:C24)</f>
        <v>2515000</v>
      </c>
      <c r="D10" s="53">
        <f>(C10/B10)*100</f>
        <v>106.56779661016948</v>
      </c>
      <c r="E10" s="79">
        <f>SUM(E17:E24)</f>
        <v>2706000</v>
      </c>
      <c r="F10" s="54">
        <f>E10/C10</f>
        <v>1.075944333996024</v>
      </c>
      <c r="G10" s="81">
        <f>'прогноз 2020'!H10</f>
        <v>334990.54025423725</v>
      </c>
      <c r="H10" s="69">
        <f>F10*G10</f>
        <v>360431.17372881353</v>
      </c>
      <c r="I10" s="55">
        <v>0.46</v>
      </c>
      <c r="J10" s="68">
        <f>J11+J16</f>
        <v>165783.75105516316</v>
      </c>
      <c r="K10" s="56"/>
    </row>
    <row r="11" spans="1:12" ht="15.75" hidden="1" x14ac:dyDescent="0.25">
      <c r="A11" s="1"/>
      <c r="B11" s="79"/>
      <c r="C11" s="79"/>
      <c r="D11" s="53"/>
      <c r="E11" s="79"/>
      <c r="F11" s="54"/>
      <c r="G11" s="81"/>
      <c r="H11" s="69"/>
      <c r="I11" s="55" t="s">
        <v>22</v>
      </c>
      <c r="J11" s="68">
        <f>SUM(J13:J15)</f>
        <v>132713.75105516316</v>
      </c>
      <c r="K11" s="56"/>
    </row>
    <row r="12" spans="1:12" ht="15.75" hidden="1" x14ac:dyDescent="0.25">
      <c r="A12" s="1"/>
      <c r="B12" s="79"/>
      <c r="C12" s="79"/>
      <c r="D12" s="53"/>
      <c r="E12" s="79"/>
      <c r="F12" s="54"/>
      <c r="G12" s="81"/>
      <c r="H12" s="69"/>
      <c r="I12" s="55" t="s">
        <v>45</v>
      </c>
      <c r="J12" s="68">
        <v>324</v>
      </c>
      <c r="K12" s="56"/>
    </row>
    <row r="13" spans="1:12" ht="15.75" hidden="1" x14ac:dyDescent="0.25">
      <c r="A13" s="1"/>
      <c r="B13" s="79"/>
      <c r="C13" s="79"/>
      <c r="D13" s="53"/>
      <c r="E13" s="79"/>
      <c r="F13" s="54"/>
      <c r="G13" s="81"/>
      <c r="H13" s="69"/>
      <c r="I13" s="55">
        <v>0.31</v>
      </c>
      <c r="J13" s="68">
        <f>H10*I13</f>
        <v>111733.6638559322</v>
      </c>
      <c r="K13" s="56"/>
      <c r="L13">
        <v>103939.5</v>
      </c>
    </row>
    <row r="14" spans="1:12" ht="15.75" hidden="1" x14ac:dyDescent="0.25">
      <c r="A14" s="1"/>
      <c r="B14" s="79"/>
      <c r="C14" s="79"/>
      <c r="D14" s="53"/>
      <c r="E14" s="79"/>
      <c r="F14" s="54"/>
      <c r="G14" s="81"/>
      <c r="H14" s="69"/>
      <c r="I14" s="55">
        <v>0.05</v>
      </c>
      <c r="J14" s="68">
        <f>H17*I14</f>
        <v>16162.7</v>
      </c>
      <c r="K14" s="56"/>
    </row>
    <row r="15" spans="1:12" ht="15.75" hidden="1" x14ac:dyDescent="0.25">
      <c r="A15" s="1"/>
      <c r="B15" s="79"/>
      <c r="C15" s="79"/>
      <c r="D15" s="53"/>
      <c r="E15" s="79"/>
      <c r="F15" s="54"/>
      <c r="G15" s="81"/>
      <c r="H15" s="69"/>
      <c r="I15" s="55">
        <v>0.13</v>
      </c>
      <c r="J15" s="68">
        <f>H25*I15</f>
        <v>4817.3871992309441</v>
      </c>
      <c r="K15" s="56"/>
    </row>
    <row r="16" spans="1:12" ht="15.75" hidden="1" x14ac:dyDescent="0.25">
      <c r="A16" s="1"/>
      <c r="B16" s="79"/>
      <c r="C16" s="79"/>
      <c r="D16" s="53"/>
      <c r="E16" s="79"/>
      <c r="F16" s="54"/>
      <c r="G16" s="81"/>
      <c r="H16" s="69"/>
      <c r="I16" s="55" t="s">
        <v>30</v>
      </c>
      <c r="J16" s="68">
        <v>33070</v>
      </c>
      <c r="K16" s="56"/>
    </row>
    <row r="17" spans="1:11" hidden="1" x14ac:dyDescent="0.2">
      <c r="A17" s="1" t="s">
        <v>31</v>
      </c>
      <c r="B17" s="80">
        <f>'прогноз 2020'!C17</f>
        <v>2132908</v>
      </c>
      <c r="C17" s="79">
        <f>'прогноз 2020'!E17</f>
        <v>2274509</v>
      </c>
      <c r="D17" s="53">
        <f t="shared" ref="D17:D24" si="0">(C17/B17)*100</f>
        <v>106.63887049980589</v>
      </c>
      <c r="E17" s="79">
        <v>2448674</v>
      </c>
      <c r="F17" s="54">
        <v>1.0766</v>
      </c>
      <c r="G17" s="81">
        <f>'прогноз 2020'!H17</f>
        <v>300246</v>
      </c>
      <c r="H17" s="69">
        <v>323254</v>
      </c>
      <c r="I17" s="55">
        <v>0.1</v>
      </c>
      <c r="J17" s="69">
        <v>32325</v>
      </c>
      <c r="K17" s="58">
        <f t="shared" ref="K17:K25" si="1">H17/E17*100</f>
        <v>13.201185621279107</v>
      </c>
    </row>
    <row r="18" spans="1:11" hidden="1" x14ac:dyDescent="0.2">
      <c r="A18" s="1" t="s">
        <v>32</v>
      </c>
      <c r="B18" s="80">
        <f>'прогноз 2020'!C18</f>
        <v>9284</v>
      </c>
      <c r="C18" s="79">
        <f>'прогноз 2020'!E18</f>
        <v>9832</v>
      </c>
      <c r="D18" s="53">
        <f t="shared" si="0"/>
        <v>105.90262817750968</v>
      </c>
      <c r="E18" s="79">
        <v>10520</v>
      </c>
      <c r="F18" s="54">
        <v>1.07</v>
      </c>
      <c r="G18" s="81">
        <f>'прогноз 2020'!H18</f>
        <v>1785.5183110728133</v>
      </c>
      <c r="H18" s="69">
        <f t="shared" ref="H18:H24" si="2">G18*F18</f>
        <v>1910.5045928479103</v>
      </c>
      <c r="I18" s="55">
        <v>0.02</v>
      </c>
      <c r="J18" s="69">
        <f t="shared" ref="J18:J24" si="3">H18*I18</f>
        <v>38.210091856958208</v>
      </c>
      <c r="K18" s="58">
        <f t="shared" si="1"/>
        <v>18.160690046082799</v>
      </c>
    </row>
    <row r="19" spans="1:11" hidden="1" x14ac:dyDescent="0.2">
      <c r="A19" s="1" t="s">
        <v>33</v>
      </c>
      <c r="B19" s="80">
        <f>'прогноз 2020'!C19</f>
        <v>30290</v>
      </c>
      <c r="C19" s="79">
        <f>'прогноз 2020'!E19</f>
        <v>32077</v>
      </c>
      <c r="D19" s="53">
        <f t="shared" si="0"/>
        <v>105.89963684384284</v>
      </c>
      <c r="E19" s="79">
        <v>34323</v>
      </c>
      <c r="F19" s="54">
        <v>1.07</v>
      </c>
      <c r="G19" s="81">
        <f>'прогноз 2020'!H19</f>
        <v>5163.6662925057772</v>
      </c>
      <c r="H19" s="69">
        <f t="shared" si="2"/>
        <v>5525.1229329811822</v>
      </c>
      <c r="I19" s="55">
        <v>0.02</v>
      </c>
      <c r="J19" s="69">
        <f t="shared" si="3"/>
        <v>110.50245865962364</v>
      </c>
      <c r="K19" s="58">
        <f t="shared" si="1"/>
        <v>16.09743592629194</v>
      </c>
    </row>
    <row r="20" spans="1:11" hidden="1" x14ac:dyDescent="0.2">
      <c r="A20" s="1" t="s">
        <v>34</v>
      </c>
      <c r="B20" s="80">
        <f>'прогноз 2020'!C20</f>
        <v>38546</v>
      </c>
      <c r="C20" s="79">
        <f>'прогноз 2020'!E20</f>
        <v>40821</v>
      </c>
      <c r="D20" s="53">
        <f t="shared" si="0"/>
        <v>105.90203912208788</v>
      </c>
      <c r="E20" s="79">
        <v>43678</v>
      </c>
      <c r="F20" s="54">
        <v>1.07</v>
      </c>
      <c r="G20" s="81">
        <f>'прогноз 2020'!H20</f>
        <v>5687.9985212473402</v>
      </c>
      <c r="H20" s="69">
        <f t="shared" si="2"/>
        <v>6086.158417734654</v>
      </c>
      <c r="I20" s="55">
        <v>0.02</v>
      </c>
      <c r="J20" s="69">
        <f t="shared" si="3"/>
        <v>121.72316835469309</v>
      </c>
      <c r="K20" s="58">
        <f t="shared" si="1"/>
        <v>13.934150871685183</v>
      </c>
    </row>
    <row r="21" spans="1:11" hidden="1" x14ac:dyDescent="0.2">
      <c r="A21" s="1" t="s">
        <v>35</v>
      </c>
      <c r="B21" s="80">
        <f>'прогноз 2020'!C21</f>
        <v>31677</v>
      </c>
      <c r="C21" s="79">
        <f>'прогноз 2020'!E21</f>
        <v>33546</v>
      </c>
      <c r="D21" s="53">
        <f t="shared" si="0"/>
        <v>105.90017994128232</v>
      </c>
      <c r="E21" s="79">
        <v>35895</v>
      </c>
      <c r="F21" s="54">
        <v>1.07</v>
      </c>
      <c r="G21" s="81">
        <f>'прогноз 2020'!H21</f>
        <v>3366.5667203333646</v>
      </c>
      <c r="H21" s="69">
        <f t="shared" si="2"/>
        <v>3602.2263907567003</v>
      </c>
      <c r="I21" s="55">
        <v>0.02</v>
      </c>
      <c r="J21" s="69">
        <f t="shared" si="3"/>
        <v>72.044527815134003</v>
      </c>
      <c r="K21" s="58">
        <f t="shared" si="1"/>
        <v>10.035454494377213</v>
      </c>
    </row>
    <row r="22" spans="1:11" hidden="1" x14ac:dyDescent="0.2">
      <c r="A22" s="1" t="s">
        <v>36</v>
      </c>
      <c r="B22" s="80">
        <f>'прогноз 2020'!C22</f>
        <v>46575</v>
      </c>
      <c r="C22" s="79">
        <f>'прогноз 2020'!E22</f>
        <v>49323</v>
      </c>
      <c r="D22" s="53">
        <f t="shared" si="0"/>
        <v>105.90016103059581</v>
      </c>
      <c r="E22" s="79">
        <v>52776</v>
      </c>
      <c r="F22" s="54">
        <v>1.07</v>
      </c>
      <c r="G22" s="81">
        <f>'прогноз 2020'!H22</f>
        <v>6965.0535909822866</v>
      </c>
      <c r="H22" s="69">
        <f t="shared" si="2"/>
        <v>7452.607342351047</v>
      </c>
      <c r="I22" s="55">
        <v>0.02</v>
      </c>
      <c r="J22" s="69">
        <f t="shared" si="3"/>
        <v>149.05214684702094</v>
      </c>
      <c r="K22" s="58">
        <f t="shared" si="1"/>
        <v>14.12120536295105</v>
      </c>
    </row>
    <row r="23" spans="1:11" hidden="1" x14ac:dyDescent="0.2">
      <c r="A23" s="1" t="s">
        <v>37</v>
      </c>
      <c r="B23" s="80">
        <f>'прогноз 2020'!C23</f>
        <v>31723</v>
      </c>
      <c r="C23" s="79">
        <f>'прогноз 2020'!E23</f>
        <v>33595</v>
      </c>
      <c r="D23" s="53">
        <f t="shared" si="0"/>
        <v>105.90108123443558</v>
      </c>
      <c r="E23" s="79">
        <v>35946</v>
      </c>
      <c r="F23" s="54">
        <v>1.07</v>
      </c>
      <c r="G23" s="81">
        <f>'прогноз 2020'!H23</f>
        <v>4956.1706017715851</v>
      </c>
      <c r="H23" s="69">
        <f t="shared" si="2"/>
        <v>5303.1025438955967</v>
      </c>
      <c r="I23" s="55">
        <v>0.02</v>
      </c>
      <c r="J23" s="69">
        <f t="shared" si="3"/>
        <v>106.06205087791193</v>
      </c>
      <c r="K23" s="58">
        <f t="shared" si="1"/>
        <v>14.752969854491729</v>
      </c>
    </row>
    <row r="24" spans="1:11" ht="48" customHeight="1" x14ac:dyDescent="0.2">
      <c r="A24" s="1" t="s">
        <v>38</v>
      </c>
      <c r="B24" s="80">
        <f>'прогноз 2020'!C24</f>
        <v>38997</v>
      </c>
      <c r="C24" s="79">
        <f>'прогноз 2020'!E24</f>
        <v>41297</v>
      </c>
      <c r="D24" s="53">
        <f t="shared" si="0"/>
        <v>105.89788958124984</v>
      </c>
      <c r="E24" s="79">
        <v>44188</v>
      </c>
      <c r="F24" s="54">
        <v>1.07</v>
      </c>
      <c r="G24" s="81">
        <f>'прогноз 2020'!H24</f>
        <v>6707.5723260763643</v>
      </c>
      <c r="H24" s="69">
        <f t="shared" si="2"/>
        <v>7177.1023889017106</v>
      </c>
      <c r="I24" s="55">
        <v>0.02</v>
      </c>
      <c r="J24" s="69">
        <f t="shared" si="3"/>
        <v>143.5420477780342</v>
      </c>
      <c r="K24" s="58">
        <f t="shared" si="1"/>
        <v>16.24219785666179</v>
      </c>
    </row>
    <row r="25" spans="1:11" hidden="1" x14ac:dyDescent="0.2">
      <c r="E25" s="66">
        <f>SUM(E18:E24)</f>
        <v>257326</v>
      </c>
      <c r="G25" s="66">
        <f>SUM(G18:G24)</f>
        <v>34632.546363989532</v>
      </c>
      <c r="H25" s="66">
        <f>SUM(H18:H24)</f>
        <v>37056.8246094688</v>
      </c>
      <c r="J25" s="66"/>
      <c r="K25" s="58">
        <f t="shared" si="1"/>
        <v>14.400730827615089</v>
      </c>
    </row>
    <row r="26" spans="1:11" hidden="1" x14ac:dyDescent="0.2">
      <c r="A26" s="31" t="s">
        <v>44</v>
      </c>
      <c r="B26" s="31"/>
      <c r="C26" s="31"/>
      <c r="D26" s="31"/>
      <c r="E26" s="63">
        <v>2706000</v>
      </c>
    </row>
    <row r="27" spans="1:11" hidden="1" x14ac:dyDescent="0.2">
      <c r="H27" s="66">
        <f>SUM(H17:H24)</f>
        <v>360310.82460946881</v>
      </c>
    </row>
  </sheetData>
  <mergeCells count="12">
    <mergeCell ref="A1:G4"/>
    <mergeCell ref="H5:I5"/>
    <mergeCell ref="F6:F8"/>
    <mergeCell ref="G6:G8"/>
    <mergeCell ref="K6:K8"/>
    <mergeCell ref="A6:A8"/>
    <mergeCell ref="B6:B8"/>
    <mergeCell ref="C6:C8"/>
    <mergeCell ref="D6:D8"/>
    <mergeCell ref="E6:E8"/>
    <mergeCell ref="H6:H8"/>
    <mergeCell ref="I6:J7"/>
  </mergeCells>
  <pageMargins left="0.31496062992125984" right="0.31496062992125984" top="0.94488188976377963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view="pageBreakPreview" topLeftCell="A7" zoomScale="98" zoomScaleNormal="100" zoomScaleSheetLayoutView="98" workbookViewId="0">
      <selection activeCell="A25" sqref="A25:XFD26"/>
    </sheetView>
  </sheetViews>
  <sheetFormatPr defaultRowHeight="12.75" x14ac:dyDescent="0.2"/>
  <cols>
    <col min="1" max="1" width="20.140625" customWidth="1"/>
    <col min="2" max="2" width="13.85546875" customWidth="1"/>
    <col min="3" max="3" width="13.42578125" customWidth="1"/>
    <col min="4" max="4" width="10.140625" customWidth="1"/>
    <col min="5" max="5" width="12.42578125" customWidth="1"/>
    <col min="6" max="6" width="12.85546875" customWidth="1"/>
    <col min="7" max="7" width="14" customWidth="1"/>
    <col min="8" max="8" width="12.5703125" customWidth="1"/>
    <col min="9" max="9" width="11.7109375" customWidth="1"/>
    <col min="10" max="10" width="11.85546875" customWidth="1"/>
  </cols>
  <sheetData>
    <row r="1" spans="1:11" x14ac:dyDescent="0.2">
      <c r="A1" s="123" t="s">
        <v>57</v>
      </c>
      <c r="B1" s="123"/>
      <c r="C1" s="123"/>
      <c r="D1" s="123"/>
      <c r="E1" s="123"/>
      <c r="F1" s="123"/>
      <c r="G1" s="123"/>
    </row>
    <row r="2" spans="1:11" x14ac:dyDescent="0.2">
      <c r="A2" s="123"/>
      <c r="B2" s="123"/>
      <c r="C2" s="123"/>
      <c r="D2" s="123"/>
      <c r="E2" s="123"/>
      <c r="F2" s="123"/>
      <c r="G2" s="123"/>
    </row>
    <row r="3" spans="1:11" x14ac:dyDescent="0.2">
      <c r="A3" s="123"/>
      <c r="B3" s="123"/>
      <c r="C3" s="123"/>
      <c r="D3" s="123"/>
      <c r="E3" s="123"/>
      <c r="F3" s="123"/>
      <c r="G3" s="123"/>
    </row>
    <row r="4" spans="1:11" x14ac:dyDescent="0.2">
      <c r="A4" s="123"/>
      <c r="B4" s="123"/>
      <c r="C4" s="123"/>
      <c r="D4" s="123"/>
      <c r="E4" s="123"/>
      <c r="F4" s="123"/>
      <c r="G4" s="123"/>
    </row>
    <row r="5" spans="1:11" ht="13.5" thickBot="1" x14ac:dyDescent="0.25">
      <c r="H5" s="124" t="s">
        <v>24</v>
      </c>
      <c r="I5" s="124"/>
    </row>
    <row r="6" spans="1:11" x14ac:dyDescent="0.2">
      <c r="A6" s="125" t="s">
        <v>0</v>
      </c>
      <c r="B6" s="125" t="s">
        <v>58</v>
      </c>
      <c r="C6" s="125" t="s">
        <v>59</v>
      </c>
      <c r="D6" s="125" t="s">
        <v>60</v>
      </c>
      <c r="E6" s="125" t="s">
        <v>61</v>
      </c>
      <c r="F6" s="125" t="s">
        <v>62</v>
      </c>
      <c r="G6" s="129" t="s">
        <v>64</v>
      </c>
      <c r="H6" s="134" t="s">
        <v>63</v>
      </c>
      <c r="I6" s="118" t="s">
        <v>28</v>
      </c>
      <c r="J6" s="119"/>
      <c r="K6" s="122" t="s">
        <v>20</v>
      </c>
    </row>
    <row r="7" spans="1:11" ht="13.5" thickBot="1" x14ac:dyDescent="0.25">
      <c r="A7" s="126"/>
      <c r="B7" s="126"/>
      <c r="C7" s="126"/>
      <c r="D7" s="126"/>
      <c r="E7" s="126"/>
      <c r="F7" s="126"/>
      <c r="G7" s="130"/>
      <c r="H7" s="135"/>
      <c r="I7" s="120"/>
      <c r="J7" s="121"/>
      <c r="K7" s="122"/>
    </row>
    <row r="8" spans="1:11" ht="122.25" customHeight="1" thickBot="1" x14ac:dyDescent="0.25">
      <c r="A8" s="127"/>
      <c r="B8" s="128"/>
      <c r="C8" s="128"/>
      <c r="D8" s="128"/>
      <c r="E8" s="128"/>
      <c r="F8" s="128"/>
      <c r="G8" s="131"/>
      <c r="H8" s="136"/>
      <c r="I8" s="47" t="s">
        <v>3</v>
      </c>
      <c r="J8" s="48" t="s">
        <v>2</v>
      </c>
      <c r="K8" s="122"/>
    </row>
    <row r="9" spans="1:11" ht="15.75" x14ac:dyDescent="0.2">
      <c r="A9" s="49">
        <v>2</v>
      </c>
      <c r="B9" s="49">
        <v>3</v>
      </c>
      <c r="C9" s="49">
        <v>4</v>
      </c>
      <c r="D9" s="49">
        <v>5</v>
      </c>
      <c r="E9" s="49">
        <v>6</v>
      </c>
      <c r="F9" s="49">
        <v>7</v>
      </c>
      <c r="G9" s="49">
        <v>8</v>
      </c>
      <c r="H9" s="49">
        <v>9</v>
      </c>
      <c r="I9" s="49">
        <v>10</v>
      </c>
      <c r="J9" s="50">
        <v>11</v>
      </c>
      <c r="K9" s="51">
        <v>12</v>
      </c>
    </row>
    <row r="10" spans="1:11" ht="15.75" hidden="1" x14ac:dyDescent="0.25">
      <c r="A10" s="1" t="s">
        <v>29</v>
      </c>
      <c r="B10" s="79">
        <f>SUM(B17:B24)</f>
        <v>2515000</v>
      </c>
      <c r="C10" s="79">
        <f>SUM(C17:C24)</f>
        <v>2706000</v>
      </c>
      <c r="D10" s="53">
        <f>(C10/B10)*100</f>
        <v>107.59443339960239</v>
      </c>
      <c r="E10" s="79">
        <f>SUM(E17:E24)</f>
        <v>2912000</v>
      </c>
      <c r="F10" s="54">
        <f>E10/C10</f>
        <v>1.0761271249076128</v>
      </c>
      <c r="G10" s="81">
        <f>'прогноз 2021'!H10</f>
        <v>360431.17372881353</v>
      </c>
      <c r="H10" s="69">
        <f>G10*F10</f>
        <v>387869.76271186437</v>
      </c>
      <c r="I10" s="55">
        <v>0.46</v>
      </c>
      <c r="J10" s="68">
        <f>H10*I10</f>
        <v>178420.09084745761</v>
      </c>
      <c r="K10" s="56"/>
    </row>
    <row r="11" spans="1:11" ht="15.75" hidden="1" x14ac:dyDescent="0.25">
      <c r="A11" s="1"/>
      <c r="B11" s="79"/>
      <c r="C11" s="79"/>
      <c r="D11" s="53"/>
      <c r="E11" s="79"/>
      <c r="F11" s="54"/>
      <c r="G11" s="81"/>
      <c r="H11" s="69"/>
      <c r="I11" s="55" t="s">
        <v>22</v>
      </c>
      <c r="J11" s="68">
        <f>SUM(J13:J15)</f>
        <v>142798.78074385505</v>
      </c>
      <c r="K11" s="56"/>
    </row>
    <row r="12" spans="1:11" ht="15.75" hidden="1" x14ac:dyDescent="0.25">
      <c r="A12" s="1"/>
      <c r="B12" s="79"/>
      <c r="C12" s="79"/>
      <c r="D12" s="53"/>
      <c r="E12" s="79"/>
      <c r="F12" s="54"/>
      <c r="G12" s="81"/>
      <c r="H12" s="69"/>
      <c r="I12" s="55" t="s">
        <v>45</v>
      </c>
      <c r="J12" s="68">
        <v>337</v>
      </c>
      <c r="K12" s="56"/>
    </row>
    <row r="13" spans="1:11" ht="15.75" hidden="1" x14ac:dyDescent="0.25">
      <c r="A13" s="1"/>
      <c r="B13" s="79"/>
      <c r="C13" s="79"/>
      <c r="D13" s="53"/>
      <c r="E13" s="79"/>
      <c r="F13" s="54"/>
      <c r="G13" s="81"/>
      <c r="H13" s="69"/>
      <c r="I13" s="55">
        <v>0.31</v>
      </c>
      <c r="J13" s="68">
        <f>H10*I13</f>
        <v>120239.62644067795</v>
      </c>
      <c r="K13" s="56"/>
    </row>
    <row r="14" spans="1:11" ht="15.75" hidden="1" x14ac:dyDescent="0.25">
      <c r="A14" s="1"/>
      <c r="B14" s="79"/>
      <c r="C14" s="79"/>
      <c r="D14" s="53"/>
      <c r="E14" s="79"/>
      <c r="F14" s="54"/>
      <c r="G14" s="81"/>
      <c r="H14" s="69"/>
      <c r="I14" s="55">
        <v>0.05</v>
      </c>
      <c r="J14" s="68">
        <f>H17*I14</f>
        <v>17404.55</v>
      </c>
      <c r="K14" s="56"/>
    </row>
    <row r="15" spans="1:11" ht="15.75" hidden="1" x14ac:dyDescent="0.25">
      <c r="A15" s="1"/>
      <c r="B15" s="79"/>
      <c r="C15" s="79"/>
      <c r="D15" s="53"/>
      <c r="E15" s="79"/>
      <c r="F15" s="54"/>
      <c r="G15" s="81"/>
      <c r="H15" s="69"/>
      <c r="I15" s="55">
        <v>0.13</v>
      </c>
      <c r="J15" s="68">
        <f>H25*I15</f>
        <v>5154.6043031771096</v>
      </c>
      <c r="K15" s="56"/>
    </row>
    <row r="16" spans="1:11" ht="15.75" hidden="1" x14ac:dyDescent="0.25">
      <c r="A16" s="1"/>
      <c r="B16" s="79"/>
      <c r="C16" s="79"/>
      <c r="D16" s="53"/>
      <c r="E16" s="79"/>
      <c r="F16" s="54"/>
      <c r="G16" s="81"/>
      <c r="H16" s="69"/>
      <c r="I16" s="55" t="s">
        <v>30</v>
      </c>
      <c r="J16" s="68">
        <f>SUM(J17:J24)</f>
        <v>35602.893617589893</v>
      </c>
      <c r="K16" s="56"/>
    </row>
    <row r="17" spans="1:11" hidden="1" x14ac:dyDescent="0.2">
      <c r="A17" s="1" t="s">
        <v>31</v>
      </c>
      <c r="B17" s="79">
        <f>'прогноз 2021'!C17</f>
        <v>2274509</v>
      </c>
      <c r="C17" s="79">
        <f>'прогноз 2021'!E17</f>
        <v>2448674</v>
      </c>
      <c r="D17" s="53">
        <f t="shared" ref="D17:D24" si="0">(C17/B17)*100</f>
        <v>107.65725701678912</v>
      </c>
      <c r="E17" s="79">
        <v>2636662</v>
      </c>
      <c r="F17" s="54">
        <v>1.0768</v>
      </c>
      <c r="G17" s="81">
        <f>'прогноз 2021'!H17</f>
        <v>323254</v>
      </c>
      <c r="H17" s="69">
        <v>348091</v>
      </c>
      <c r="I17" s="55">
        <v>0.1</v>
      </c>
      <c r="J17" s="69">
        <v>34810</v>
      </c>
      <c r="K17" s="58">
        <f>H17/E17*100</f>
        <v>13.201957626726522</v>
      </c>
    </row>
    <row r="18" spans="1:11" hidden="1" x14ac:dyDescent="0.2">
      <c r="A18" s="1" t="s">
        <v>32</v>
      </c>
      <c r="B18" s="79">
        <f>'прогноз 2021'!C18</f>
        <v>9832</v>
      </c>
      <c r="C18" s="79">
        <f>'прогноз 2021'!E18</f>
        <v>10520</v>
      </c>
      <c r="D18" s="53">
        <f t="shared" si="0"/>
        <v>106.99755899104963</v>
      </c>
      <c r="E18" s="79">
        <v>11256</v>
      </c>
      <c r="F18" s="54">
        <v>1.07</v>
      </c>
      <c r="G18" s="81">
        <f>'прогноз 2021'!H18</f>
        <v>1910.5045928479103</v>
      </c>
      <c r="H18" s="69">
        <f t="shared" ref="H18:H24" si="1">G18*F18</f>
        <v>2044.2399143472642</v>
      </c>
      <c r="I18" s="55">
        <v>0.02</v>
      </c>
      <c r="J18" s="69">
        <v>41</v>
      </c>
      <c r="K18" s="58">
        <f t="shared" ref="K18:K25" si="2">H18/E18*100</f>
        <v>18.161335415309736</v>
      </c>
    </row>
    <row r="19" spans="1:11" hidden="1" x14ac:dyDescent="0.2">
      <c r="A19" s="1" t="s">
        <v>33</v>
      </c>
      <c r="B19" s="79">
        <f>'прогноз 2021'!C19</f>
        <v>32077</v>
      </c>
      <c r="C19" s="79">
        <f>'прогноз 2021'!E19</f>
        <v>34323</v>
      </c>
      <c r="D19" s="53">
        <f t="shared" si="0"/>
        <v>107.00190167409671</v>
      </c>
      <c r="E19" s="79">
        <v>36726</v>
      </c>
      <c r="F19" s="54">
        <v>1.07</v>
      </c>
      <c r="G19" s="81">
        <f>'прогноз 2021'!H19</f>
        <v>5525.1229329811822</v>
      </c>
      <c r="H19" s="69">
        <f t="shared" si="1"/>
        <v>5911.8815382898656</v>
      </c>
      <c r="I19" s="55">
        <v>0.02</v>
      </c>
      <c r="J19" s="69">
        <v>118</v>
      </c>
      <c r="K19" s="58">
        <f t="shared" si="2"/>
        <v>16.097264984724351</v>
      </c>
    </row>
    <row r="20" spans="1:11" hidden="1" x14ac:dyDescent="0.2">
      <c r="A20" s="1" t="s">
        <v>34</v>
      </c>
      <c r="B20" s="79">
        <f>'прогноз 2021'!C20</f>
        <v>40821</v>
      </c>
      <c r="C20" s="79">
        <f>'прогноз 2021'!E20</f>
        <v>43678</v>
      </c>
      <c r="D20" s="53">
        <f t="shared" si="0"/>
        <v>106.99884863183165</v>
      </c>
      <c r="E20" s="79">
        <v>46735</v>
      </c>
      <c r="F20" s="54">
        <v>1.07</v>
      </c>
      <c r="G20" s="81">
        <f>'прогноз 2021'!H20</f>
        <v>6086.158417734654</v>
      </c>
      <c r="H20" s="69">
        <f t="shared" si="1"/>
        <v>6512.1895069760803</v>
      </c>
      <c r="I20" s="55">
        <v>0.02</v>
      </c>
      <c r="J20" s="69">
        <f t="shared" ref="J20:J24" si="3">H20*I20</f>
        <v>130.24379013952162</v>
      </c>
      <c r="K20" s="58">
        <f t="shared" si="2"/>
        <v>13.934288021774002</v>
      </c>
    </row>
    <row r="21" spans="1:11" hidden="1" x14ac:dyDescent="0.2">
      <c r="A21" s="1" t="s">
        <v>35</v>
      </c>
      <c r="B21" s="79">
        <f>'прогноз 2021'!C21</f>
        <v>33546</v>
      </c>
      <c r="C21" s="79">
        <f>'прогноз 2021'!E21</f>
        <v>35895</v>
      </c>
      <c r="D21" s="53">
        <f t="shared" si="0"/>
        <v>107.00232516544446</v>
      </c>
      <c r="E21" s="79">
        <v>38407</v>
      </c>
      <c r="F21" s="54">
        <v>1.07</v>
      </c>
      <c r="G21" s="81">
        <f>'прогноз 2021'!H21</f>
        <v>3602.2263907567003</v>
      </c>
      <c r="H21" s="69">
        <f t="shared" si="1"/>
        <v>3854.3822381096697</v>
      </c>
      <c r="I21" s="55">
        <v>0.02</v>
      </c>
      <c r="J21" s="69">
        <f t="shared" si="3"/>
        <v>77.087644762193392</v>
      </c>
      <c r="K21" s="58">
        <f t="shared" si="2"/>
        <v>10.035624334391308</v>
      </c>
    </row>
    <row r="22" spans="1:11" hidden="1" x14ac:dyDescent="0.2">
      <c r="A22" s="1" t="s">
        <v>36</v>
      </c>
      <c r="B22" s="79">
        <f>'прогноз 2021'!C22</f>
        <v>49323</v>
      </c>
      <c r="C22" s="79">
        <f>'прогноз 2021'!E22</f>
        <v>52776</v>
      </c>
      <c r="D22" s="53">
        <f t="shared" si="0"/>
        <v>107.00079070616142</v>
      </c>
      <c r="E22" s="79">
        <v>56470</v>
      </c>
      <c r="F22" s="54">
        <v>1.07</v>
      </c>
      <c r="G22" s="81">
        <f>'прогноз 2021'!H22</f>
        <v>7452.607342351047</v>
      </c>
      <c r="H22" s="69">
        <f t="shared" si="1"/>
        <v>7974.2898563156205</v>
      </c>
      <c r="I22" s="55">
        <v>0.02</v>
      </c>
      <c r="J22" s="69">
        <f t="shared" si="3"/>
        <v>159.48579712631241</v>
      </c>
      <c r="K22" s="58">
        <f t="shared" si="2"/>
        <v>14.121285383948326</v>
      </c>
    </row>
    <row r="23" spans="1:11" hidden="1" x14ac:dyDescent="0.2">
      <c r="A23" s="1" t="s">
        <v>37</v>
      </c>
      <c r="B23" s="79">
        <f>'прогноз 2021'!C23</f>
        <v>33595</v>
      </c>
      <c r="C23" s="79">
        <f>'прогноз 2021'!E23</f>
        <v>35946</v>
      </c>
      <c r="D23" s="53">
        <f t="shared" si="0"/>
        <v>106.99806518827207</v>
      </c>
      <c r="E23" s="79">
        <v>38463</v>
      </c>
      <c r="F23" s="54">
        <v>1.07</v>
      </c>
      <c r="G23" s="81">
        <f>'прогноз 2021'!H23</f>
        <v>5303.1025438955967</v>
      </c>
      <c r="H23" s="69">
        <f t="shared" si="1"/>
        <v>5674.3197219682888</v>
      </c>
      <c r="I23" s="55">
        <v>0.02</v>
      </c>
      <c r="J23" s="69">
        <f t="shared" si="3"/>
        <v>113.48639443936578</v>
      </c>
      <c r="K23" s="58">
        <f t="shared" si="2"/>
        <v>14.752670675631876</v>
      </c>
    </row>
    <row r="24" spans="1:11" ht="40.5" customHeight="1" x14ac:dyDescent="0.2">
      <c r="A24" s="1" t="s">
        <v>38</v>
      </c>
      <c r="B24" s="52">
        <f>'прогноз 2021'!C24</f>
        <v>41297</v>
      </c>
      <c r="C24" s="52">
        <f>'прогноз 2021'!E24</f>
        <v>44188</v>
      </c>
      <c r="D24" s="53">
        <f t="shared" si="0"/>
        <v>107.00050851151414</v>
      </c>
      <c r="E24" s="79">
        <v>47281</v>
      </c>
      <c r="F24" s="54">
        <v>1.07</v>
      </c>
      <c r="G24" s="81">
        <f>'прогноз 2021'!H24</f>
        <v>7177.1023889017106</v>
      </c>
      <c r="H24" s="69">
        <f t="shared" si="1"/>
        <v>7679.4995561248306</v>
      </c>
      <c r="I24" s="55">
        <v>0.02</v>
      </c>
      <c r="J24" s="69">
        <f t="shared" si="3"/>
        <v>153.58999112249663</v>
      </c>
      <c r="K24" s="58">
        <f t="shared" si="2"/>
        <v>16.242252820635837</v>
      </c>
    </row>
    <row r="25" spans="1:11" hidden="1" x14ac:dyDescent="0.2">
      <c r="E25" s="66">
        <f>SUM(E18:E24)</f>
        <v>275338</v>
      </c>
      <c r="G25" s="66">
        <f>SUM(G18:G24)</f>
        <v>37056.8246094688</v>
      </c>
      <c r="H25" s="66">
        <f>SUM(H18:H24)</f>
        <v>39650.802332131614</v>
      </c>
      <c r="J25" s="28"/>
      <c r="K25" s="58">
        <f t="shared" si="2"/>
        <v>14.400773715263282</v>
      </c>
    </row>
    <row r="26" spans="1:11" hidden="1" x14ac:dyDescent="0.2">
      <c r="A26" s="31" t="s">
        <v>44</v>
      </c>
      <c r="B26" s="31"/>
      <c r="C26" s="31"/>
      <c r="D26" s="31"/>
      <c r="E26" s="63">
        <v>2912000</v>
      </c>
    </row>
    <row r="27" spans="1:11" x14ac:dyDescent="0.2">
      <c r="H27" s="66">
        <f>SUM(H17:H24)</f>
        <v>387741.80233213166</v>
      </c>
      <c r="J27" s="66">
        <f>J11+J16</f>
        <v>178401.67436144495</v>
      </c>
    </row>
  </sheetData>
  <mergeCells count="12">
    <mergeCell ref="I6:J7"/>
    <mergeCell ref="K6:K8"/>
    <mergeCell ref="A1:G4"/>
    <mergeCell ref="H5:I5"/>
    <mergeCell ref="A6:A8"/>
    <mergeCell ref="B6:B8"/>
    <mergeCell ref="C6:C8"/>
    <mergeCell ref="D6:D8"/>
    <mergeCell ref="E6:E8"/>
    <mergeCell ref="F6:F8"/>
    <mergeCell ref="G6:G8"/>
    <mergeCell ref="H6:H8"/>
  </mergeCells>
  <pageMargins left="0.31496062992125984" right="0.31496062992125984" top="0.94488188976377963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ожид 2019 в фу</vt:lpstr>
      <vt:lpstr>прогноз 2020</vt:lpstr>
      <vt:lpstr>прогноз 2021</vt:lpstr>
      <vt:lpstr>прогноз 2022 </vt:lpstr>
      <vt:lpstr>'ожид 2019 в фу'!Область_печати</vt:lpstr>
      <vt:lpstr>'прогноз 2020'!Область_печати</vt:lpstr>
      <vt:lpstr>'прогноз 2021'!Область_печати</vt:lpstr>
      <vt:lpstr>'прогноз 2022 '!Область_печати</vt:lpstr>
    </vt:vector>
  </TitlesOfParts>
  <Company>Облфинуправление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diesperova</dc:creator>
  <cp:lastModifiedBy>Buhg</cp:lastModifiedBy>
  <cp:lastPrinted>2019-11-08T07:27:44Z</cp:lastPrinted>
  <dcterms:created xsi:type="dcterms:W3CDTF">2006-07-18T07:01:15Z</dcterms:created>
  <dcterms:modified xsi:type="dcterms:W3CDTF">2019-11-08T07:27:55Z</dcterms:modified>
</cp:coreProperties>
</file>